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525\ДЕР\ДЕР\фін.план на 2019рік\"/>
    </mc:Choice>
  </mc:AlternateContent>
  <bookViews>
    <workbookView xWindow="0" yWindow="0" windowWidth="16845" windowHeight="8145" tabRatio="792" activeTab="5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результат'!$5:$5</definedName>
    <definedName name="_xlnm.Print_Titles" localSheetId="2">'2. Розрахунки з бюджетом'!$6:$6</definedName>
    <definedName name="_xlnm.Print_Titles" localSheetId="3">'3. Рух грошових коштів'!$6:$6</definedName>
    <definedName name="_xlnm.Print_Titles" localSheetId="0">'Фінплан - зведені показники'!$7:$7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результат'!$A$1:$J$112</definedName>
    <definedName name="_xlnm.Print_Area" localSheetId="2">'2. Розрахунки з бюджетом'!$A$1:$J$43</definedName>
    <definedName name="_xlnm.Print_Area" localSheetId="3">'3. Рух грошових коштів'!$A$1:$J$84</definedName>
    <definedName name="_xlnm.Print_Area" localSheetId="4">'4. Кап. інвестиції'!$A$1:$J$28</definedName>
    <definedName name="_xlnm.Print_Area" localSheetId="5">'5. Інша інформація'!$A$70:$AF$102</definedName>
    <definedName name="_xlnm.Print_Area" localSheetId="0">'Фінплан - зведені показники'!$A$1:$J$42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[30]Inform!$E$6</definedName>
    <definedName name="р">#REF!</definedName>
    <definedName name="т">[31]Inform!$E$6</definedName>
    <definedName name="тариф">[32]Inform!$G$2</definedName>
    <definedName name="уйцукйцуйу">#REF!</definedName>
    <definedName name="уке">[33]Inform!$G$2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'[34]БАЗА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D23" i="10" l="1"/>
  <c r="B36" i="10"/>
  <c r="B35" i="10"/>
  <c r="B34" i="10"/>
  <c r="B27" i="10"/>
  <c r="B26" i="10"/>
  <c r="B24" i="10"/>
  <c r="B28" i="10" s="1"/>
  <c r="B25" i="10"/>
  <c r="B29" i="10" s="1"/>
  <c r="B33" i="10" s="1"/>
  <c r="B21" i="10"/>
  <c r="C8" i="3"/>
  <c r="C40" i="14" s="1"/>
  <c r="C76" i="18"/>
  <c r="C22" i="18"/>
  <c r="C23" i="18"/>
  <c r="C25" i="18"/>
  <c r="C20" i="18" s="1"/>
  <c r="C27" i="18"/>
  <c r="C33" i="19"/>
  <c r="C34" i="19"/>
  <c r="C38" i="19"/>
  <c r="C33" i="14"/>
  <c r="C35" i="14"/>
  <c r="C36" i="14"/>
  <c r="C37" i="14"/>
  <c r="C38" i="14"/>
  <c r="C25" i="14"/>
  <c r="C26" i="14"/>
  <c r="C27" i="14"/>
  <c r="C28" i="14"/>
  <c r="C30" i="14"/>
  <c r="C9" i="14"/>
  <c r="C12" i="14"/>
  <c r="C13" i="14"/>
  <c r="C17" i="14"/>
  <c r="C18" i="14"/>
  <c r="C19" i="14"/>
  <c r="C20" i="14"/>
  <c r="C22" i="14"/>
  <c r="C110" i="2"/>
  <c r="C100" i="2"/>
  <c r="C84" i="2"/>
  <c r="C79" i="2" s="1"/>
  <c r="C15" i="14" s="1"/>
  <c r="C69" i="2"/>
  <c r="C62" i="2" s="1"/>
  <c r="C14" i="14" s="1"/>
  <c r="C53" i="2"/>
  <c r="C31" i="2" s="1"/>
  <c r="C22" i="2"/>
  <c r="C14" i="2" s="1"/>
  <c r="C7" i="2"/>
  <c r="C13" i="2" s="1"/>
  <c r="C19" i="18" s="1"/>
  <c r="C18" i="18" s="1"/>
  <c r="C17" i="18" s="1"/>
  <c r="D7" i="2"/>
  <c r="E7" i="2"/>
  <c r="E13" i="2" s="1"/>
  <c r="E100" i="2" s="1"/>
  <c r="G7" i="2"/>
  <c r="H7" i="2"/>
  <c r="I7" i="2"/>
  <c r="J7" i="2"/>
  <c r="J13" i="2" s="1"/>
  <c r="J100" i="2" s="1"/>
  <c r="F8" i="2"/>
  <c r="F10" i="2"/>
  <c r="F11" i="2"/>
  <c r="D13" i="2"/>
  <c r="G13" i="2"/>
  <c r="H13" i="2"/>
  <c r="I13" i="2"/>
  <c r="F15" i="2"/>
  <c r="F16" i="2"/>
  <c r="F17" i="2"/>
  <c r="F18" i="2"/>
  <c r="F19" i="2"/>
  <c r="F20" i="2"/>
  <c r="D21" i="2"/>
  <c r="F21" i="2"/>
  <c r="D22" i="2"/>
  <c r="E22" i="2"/>
  <c r="E14" i="2" s="1"/>
  <c r="G22" i="2"/>
  <c r="H22" i="2"/>
  <c r="H14" i="2" s="1"/>
  <c r="I22" i="2"/>
  <c r="I14" i="2" s="1"/>
  <c r="J22" i="2"/>
  <c r="F23" i="2"/>
  <c r="F24" i="2"/>
  <c r="F25" i="2"/>
  <c r="F26" i="2"/>
  <c r="F27" i="2"/>
  <c r="F28" i="2"/>
  <c r="G31" i="2"/>
  <c r="H31" i="2"/>
  <c r="I31" i="2"/>
  <c r="J31" i="2"/>
  <c r="F32" i="2"/>
  <c r="F33" i="2"/>
  <c r="F34" i="2"/>
  <c r="F35" i="2"/>
  <c r="F36" i="2"/>
  <c r="F37" i="2"/>
  <c r="F38" i="2"/>
  <c r="F39" i="2"/>
  <c r="E40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D53" i="2"/>
  <c r="D31" i="2" s="1"/>
  <c r="E53" i="2"/>
  <c r="G53" i="2"/>
  <c r="H53" i="2"/>
  <c r="I53" i="2"/>
  <c r="J53" i="2"/>
  <c r="F54" i="2"/>
  <c r="F55" i="2"/>
  <c r="F56" i="2"/>
  <c r="F57" i="2"/>
  <c r="F58" i="2"/>
  <c r="F59" i="2"/>
  <c r="F60" i="2"/>
  <c r="F61" i="2"/>
  <c r="F65" i="2"/>
  <c r="F66" i="2"/>
  <c r="F67" i="2"/>
  <c r="D69" i="2"/>
  <c r="D62" i="2" s="1"/>
  <c r="E69" i="2"/>
  <c r="E62" i="2" s="1"/>
  <c r="D84" i="2"/>
  <c r="D79" i="2" s="1"/>
  <c r="E84" i="2"/>
  <c r="E79" i="2" s="1"/>
  <c r="G84" i="2"/>
  <c r="G79" i="2" s="1"/>
  <c r="H84" i="2"/>
  <c r="H79" i="2" s="1"/>
  <c r="I84" i="2"/>
  <c r="I79" i="2" s="1"/>
  <c r="J84" i="2"/>
  <c r="J79" i="2" s="1"/>
  <c r="F85" i="2"/>
  <c r="F86" i="2"/>
  <c r="F87" i="2"/>
  <c r="F88" i="2"/>
  <c r="F89" i="2"/>
  <c r="D100" i="2"/>
  <c r="G100" i="2"/>
  <c r="H100" i="2"/>
  <c r="I100" i="2"/>
  <c r="D103" i="2"/>
  <c r="E104" i="2"/>
  <c r="E103" i="2" s="1"/>
  <c r="E110" i="2" s="1"/>
  <c r="G104" i="2"/>
  <c r="G103" i="2" s="1"/>
  <c r="H104" i="2"/>
  <c r="I104" i="2"/>
  <c r="J104" i="2"/>
  <c r="H105" i="2"/>
  <c r="H103" i="2" s="1"/>
  <c r="I105" i="2"/>
  <c r="J105" i="2"/>
  <c r="J103" i="2" s="1"/>
  <c r="H106" i="2"/>
  <c r="I106" i="2"/>
  <c r="I107" i="2" s="1"/>
  <c r="J106" i="2"/>
  <c r="J107" i="2" s="1"/>
  <c r="H107" i="2"/>
  <c r="G108" i="2"/>
  <c r="F108" i="2" s="1"/>
  <c r="H108" i="2"/>
  <c r="I108" i="2"/>
  <c r="J108" i="2"/>
  <c r="D110" i="2"/>
  <c r="J26" i="19"/>
  <c r="C10" i="14" l="1"/>
  <c r="C101" i="2"/>
  <c r="C31" i="19"/>
  <c r="C22" i="19" s="1"/>
  <c r="C29" i="14" s="1"/>
  <c r="C29" i="2"/>
  <c r="I103" i="2"/>
  <c r="F84" i="2"/>
  <c r="F77" i="2"/>
  <c r="F76" i="2"/>
  <c r="F74" i="2"/>
  <c r="F73" i="2"/>
  <c r="I69" i="2"/>
  <c r="I62" i="2" s="1"/>
  <c r="G69" i="2"/>
  <c r="G62" i="2" s="1"/>
  <c r="E31" i="2"/>
  <c r="E101" i="2" s="1"/>
  <c r="F31" i="2"/>
  <c r="F22" i="2"/>
  <c r="D14" i="2"/>
  <c r="D29" i="2" s="1"/>
  <c r="D90" i="2" s="1"/>
  <c r="D95" i="2" s="1"/>
  <c r="D98" i="2" s="1"/>
  <c r="G14" i="2"/>
  <c r="F13" i="2"/>
  <c r="F7" i="2"/>
  <c r="F78" i="2"/>
  <c r="F75" i="2"/>
  <c r="F72" i="2"/>
  <c r="F71" i="2"/>
  <c r="J69" i="2"/>
  <c r="J62" i="2" s="1"/>
  <c r="H69" i="2"/>
  <c r="H62" i="2" s="1"/>
  <c r="H101" i="2" s="1"/>
  <c r="H110" i="2" s="1"/>
  <c r="H109" i="2" s="1"/>
  <c r="F53" i="2"/>
  <c r="F79" i="2"/>
  <c r="H29" i="2"/>
  <c r="E29" i="2"/>
  <c r="E90" i="2" s="1"/>
  <c r="E95" i="2" s="1"/>
  <c r="E98" i="2" s="1"/>
  <c r="F100" i="2"/>
  <c r="F104" i="2"/>
  <c r="I29" i="2"/>
  <c r="I90" i="2" s="1"/>
  <c r="I95" i="2" s="1"/>
  <c r="F70" i="2"/>
  <c r="J14" i="2"/>
  <c r="C90" i="2" l="1"/>
  <c r="C11" i="14"/>
  <c r="D101" i="2"/>
  <c r="C39" i="19"/>
  <c r="C31" i="14" s="1"/>
  <c r="G101" i="2"/>
  <c r="H90" i="2"/>
  <c r="H95" i="2" s="1"/>
  <c r="H98" i="2" s="1"/>
  <c r="G29" i="2"/>
  <c r="G90" i="2" s="1"/>
  <c r="G95" i="2" s="1"/>
  <c r="G98" i="2" s="1"/>
  <c r="J29" i="2"/>
  <c r="J90" i="2" s="1"/>
  <c r="J95" i="2" s="1"/>
  <c r="G110" i="2"/>
  <c r="G109" i="2" s="1"/>
  <c r="F14" i="2"/>
  <c r="F69" i="2"/>
  <c r="I96" i="2"/>
  <c r="I98" i="2" s="1"/>
  <c r="J73" i="10"/>
  <c r="F105" i="2" s="1"/>
  <c r="C16" i="14" l="1"/>
  <c r="C95" i="2"/>
  <c r="F29" i="2"/>
  <c r="I101" i="2"/>
  <c r="J96" i="2"/>
  <c r="J101" i="2" s="1"/>
  <c r="J110" i="2" s="1"/>
  <c r="J109" i="2" s="1"/>
  <c r="F103" i="2"/>
  <c r="F62" i="2"/>
  <c r="K73" i="10"/>
  <c r="F106" i="2" s="1"/>
  <c r="C8" i="18" l="1"/>
  <c r="C21" i="14"/>
  <c r="C98" i="2"/>
  <c r="J98" i="2"/>
  <c r="F96" i="2"/>
  <c r="I110" i="2"/>
  <c r="I109" i="2" s="1"/>
  <c r="F101" i="2"/>
  <c r="F90" i="2"/>
  <c r="J10" i="3"/>
  <c r="Q92" i="10"/>
  <c r="C92" i="10"/>
  <c r="Q91" i="10"/>
  <c r="C91" i="10"/>
  <c r="C90" i="10"/>
  <c r="H10" i="3"/>
  <c r="I10" i="3"/>
  <c r="G10" i="3"/>
  <c r="F15" i="10"/>
  <c r="H15" i="10"/>
  <c r="F16" i="10"/>
  <c r="H16" i="10"/>
  <c r="F17" i="10"/>
  <c r="H17" i="10"/>
  <c r="F18" i="10"/>
  <c r="H18" i="10"/>
  <c r="E22" i="10"/>
  <c r="H22" i="10" s="1"/>
  <c r="C28" i="18" l="1"/>
  <c r="C34" i="14" s="1"/>
  <c r="C23" i="14"/>
  <c r="F110" i="2"/>
  <c r="F95" i="2"/>
  <c r="F98" i="2" s="1"/>
  <c r="F22" i="10"/>
  <c r="L38" i="19" l="1"/>
  <c r="G36" i="19" l="1"/>
  <c r="G18" i="19"/>
  <c r="F77" i="18"/>
  <c r="G77" i="18"/>
  <c r="J8" i="19" l="1"/>
  <c r="I8" i="19"/>
  <c r="E95" i="10" l="1"/>
  <c r="F95" i="10"/>
  <c r="H95" i="10"/>
  <c r="S95" i="10"/>
  <c r="T95" i="10"/>
  <c r="X95" i="10"/>
  <c r="Y95" i="10"/>
  <c r="O89" i="10"/>
  <c r="P89" i="10"/>
  <c r="Q89" i="10"/>
  <c r="AF89" i="10" s="1"/>
  <c r="O90" i="10"/>
  <c r="P90" i="10"/>
  <c r="Q90" i="10"/>
  <c r="O91" i="10"/>
  <c r="P91" i="10"/>
  <c r="O92" i="10"/>
  <c r="P92" i="10"/>
  <c r="N89" i="10"/>
  <c r="AC89" i="10" s="1"/>
  <c r="N90" i="10"/>
  <c r="N91" i="10"/>
  <c r="N92" i="10"/>
  <c r="AE89" i="10"/>
  <c r="AD89" i="10"/>
  <c r="C89" i="10"/>
  <c r="R89" i="10"/>
  <c r="W89" i="10"/>
  <c r="AF87" i="10"/>
  <c r="R87" i="10"/>
  <c r="W87" i="10"/>
  <c r="N87" i="10"/>
  <c r="AC87" i="10" s="1"/>
  <c r="O87" i="10"/>
  <c r="AD87" i="10" s="1"/>
  <c r="P87" i="10"/>
  <c r="AE87" i="10" s="1"/>
  <c r="C87" i="10"/>
  <c r="W86" i="10"/>
  <c r="R86" i="10"/>
  <c r="O86" i="10"/>
  <c r="AD86" i="10" s="1"/>
  <c r="P86" i="10"/>
  <c r="AE86" i="10" s="1"/>
  <c r="Q86" i="10"/>
  <c r="AF86" i="10" s="1"/>
  <c r="N86" i="10"/>
  <c r="N95" i="10" s="1"/>
  <c r="C86" i="10"/>
  <c r="J37" i="14"/>
  <c r="I37" i="14"/>
  <c r="H37" i="14"/>
  <c r="G37" i="14"/>
  <c r="F37" i="14"/>
  <c r="G36" i="14"/>
  <c r="J35" i="14"/>
  <c r="I35" i="14"/>
  <c r="H35" i="14"/>
  <c r="G35" i="14"/>
  <c r="F28" i="14"/>
  <c r="H28" i="14"/>
  <c r="I28" i="14"/>
  <c r="J28" i="14"/>
  <c r="G28" i="14"/>
  <c r="F12" i="14"/>
  <c r="F17" i="14"/>
  <c r="F18" i="14"/>
  <c r="F19" i="14"/>
  <c r="F20" i="14"/>
  <c r="G22" i="14"/>
  <c r="J20" i="14"/>
  <c r="I20" i="14"/>
  <c r="H20" i="14"/>
  <c r="G20" i="14"/>
  <c r="J19" i="14"/>
  <c r="I19" i="14"/>
  <c r="H19" i="14"/>
  <c r="G19" i="14"/>
  <c r="J18" i="14"/>
  <c r="I18" i="14"/>
  <c r="H18" i="14"/>
  <c r="G18" i="14"/>
  <c r="J17" i="14"/>
  <c r="I17" i="14"/>
  <c r="H17" i="14"/>
  <c r="G17" i="14"/>
  <c r="J12" i="14"/>
  <c r="I12" i="14"/>
  <c r="H12" i="14"/>
  <c r="G12" i="14"/>
  <c r="F12" i="3"/>
  <c r="F13" i="3"/>
  <c r="F14" i="3"/>
  <c r="F15" i="3"/>
  <c r="F16" i="3"/>
  <c r="F17" i="3"/>
  <c r="F18" i="3"/>
  <c r="F19" i="3"/>
  <c r="F11" i="3"/>
  <c r="J8" i="3"/>
  <c r="J40" i="14" s="1"/>
  <c r="I8" i="3"/>
  <c r="I40" i="14" s="1"/>
  <c r="H8" i="3"/>
  <c r="H40" i="14" s="1"/>
  <c r="G8" i="3"/>
  <c r="H33" i="18"/>
  <c r="H30" i="18" s="1"/>
  <c r="I33" i="18"/>
  <c r="I30" i="18" s="1"/>
  <c r="J33" i="18"/>
  <c r="J30" i="18" s="1"/>
  <c r="G33" i="18"/>
  <c r="G30" i="18" s="1"/>
  <c r="F38" i="18"/>
  <c r="F37" i="18"/>
  <c r="F36" i="18"/>
  <c r="F35" i="18"/>
  <c r="F34" i="18"/>
  <c r="F32" i="18"/>
  <c r="F31" i="18"/>
  <c r="H43" i="18"/>
  <c r="I43" i="18"/>
  <c r="J43" i="18"/>
  <c r="G43" i="18"/>
  <c r="F48" i="18"/>
  <c r="F47" i="18"/>
  <c r="F46" i="18"/>
  <c r="F45" i="18"/>
  <c r="F44" i="18"/>
  <c r="I51" i="18"/>
  <c r="I75" i="18" s="1"/>
  <c r="I36" i="14" s="1"/>
  <c r="J51" i="18"/>
  <c r="J75" i="18" s="1"/>
  <c r="J36" i="14" s="1"/>
  <c r="G51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52" i="18"/>
  <c r="H51" i="18"/>
  <c r="H75" i="18" s="1"/>
  <c r="F49" i="18"/>
  <c r="F35" i="14" s="1"/>
  <c r="F53" i="18"/>
  <c r="H26" i="18"/>
  <c r="I26" i="18"/>
  <c r="J26" i="18"/>
  <c r="F37" i="19"/>
  <c r="H32" i="19"/>
  <c r="F32" i="19" s="1"/>
  <c r="G25" i="14"/>
  <c r="H8" i="19"/>
  <c r="H22" i="14"/>
  <c r="H35" i="19"/>
  <c r="I35" i="19"/>
  <c r="J35" i="19"/>
  <c r="I34" i="19"/>
  <c r="J34" i="19"/>
  <c r="G38" i="19"/>
  <c r="G30" i="14" s="1"/>
  <c r="G35" i="19"/>
  <c r="G34" i="19"/>
  <c r="G33" i="19"/>
  <c r="G27" i="18"/>
  <c r="G26" i="18"/>
  <c r="G23" i="18"/>
  <c r="G22" i="18"/>
  <c r="F10" i="3" l="1"/>
  <c r="AB87" i="10"/>
  <c r="F43" i="18"/>
  <c r="G31" i="19"/>
  <c r="G22" i="19" s="1"/>
  <c r="F8" i="3"/>
  <c r="F40" i="14" s="1"/>
  <c r="G40" i="14"/>
  <c r="H18" i="19"/>
  <c r="H27" i="18"/>
  <c r="O95" i="10"/>
  <c r="P95" i="10"/>
  <c r="Q95" i="10"/>
  <c r="F75" i="18"/>
  <c r="F36" i="14" s="1"/>
  <c r="F51" i="18"/>
  <c r="F30" i="18"/>
  <c r="H36" i="14"/>
  <c r="M86" i="10"/>
  <c r="M89" i="10"/>
  <c r="AB89" i="10"/>
  <c r="M87" i="10"/>
  <c r="AC86" i="10"/>
  <c r="F33" i="18"/>
  <c r="H25" i="14" l="1"/>
  <c r="G29" i="14"/>
  <c r="G24" i="18"/>
  <c r="AB86" i="10"/>
  <c r="H19" i="19"/>
  <c r="H26" i="14" s="1"/>
  <c r="G19" i="19"/>
  <c r="F8" i="19"/>
  <c r="G8" i="19" s="1"/>
  <c r="F16" i="19"/>
  <c r="F35" i="19"/>
  <c r="H34" i="19"/>
  <c r="H33" i="19" l="1"/>
  <c r="F34" i="19"/>
  <c r="G26" i="14"/>
  <c r="I10" i="14" l="1"/>
  <c r="G15" i="14"/>
  <c r="H15" i="14"/>
  <c r="J10" i="14"/>
  <c r="I33" i="19"/>
  <c r="I15" i="14"/>
  <c r="J22" i="18"/>
  <c r="J36" i="19"/>
  <c r="I36" i="19"/>
  <c r="I22" i="18"/>
  <c r="G10" i="14"/>
  <c r="I14" i="14"/>
  <c r="H13" i="14" l="1"/>
  <c r="I26" i="19"/>
  <c r="J14" i="14"/>
  <c r="G13" i="14"/>
  <c r="I31" i="19"/>
  <c r="J33" i="19"/>
  <c r="J31" i="19" s="1"/>
  <c r="J15" i="14"/>
  <c r="H20" i="19"/>
  <c r="F20" i="19" s="1"/>
  <c r="G11" i="14" l="1"/>
  <c r="I22" i="19"/>
  <c r="I29" i="14" s="1"/>
  <c r="J22" i="19"/>
  <c r="J29" i="14" s="1"/>
  <c r="H25" i="18"/>
  <c r="H27" i="14"/>
  <c r="F33" i="19"/>
  <c r="G25" i="18"/>
  <c r="G27" i="14"/>
  <c r="G39" i="19"/>
  <c r="G31" i="14" s="1"/>
  <c r="I24" i="18" l="1"/>
  <c r="G19" i="18"/>
  <c r="G18" i="18" s="1"/>
  <c r="G17" i="18" s="1"/>
  <c r="G9" i="14"/>
  <c r="J24" i="18"/>
  <c r="H36" i="19"/>
  <c r="H22" i="18"/>
  <c r="H26" i="19"/>
  <c r="F26" i="19" s="1"/>
  <c r="H38" i="19"/>
  <c r="H30" i="14" s="1"/>
  <c r="H23" i="18"/>
  <c r="F10" i="14"/>
  <c r="H10" i="14"/>
  <c r="E19" i="10"/>
  <c r="H19" i="10" l="1"/>
  <c r="F19" i="10"/>
  <c r="H11" i="14"/>
  <c r="F36" i="19"/>
  <c r="H31" i="19"/>
  <c r="H22" i="19" s="1"/>
  <c r="H24" i="18" s="1"/>
  <c r="F24" i="18" s="1"/>
  <c r="J43" i="10"/>
  <c r="H9" i="14" l="1"/>
  <c r="H19" i="18"/>
  <c r="H18" i="18" s="1"/>
  <c r="H17" i="18" s="1"/>
  <c r="F31" i="19"/>
  <c r="F22" i="19" s="1"/>
  <c r="H39" i="19"/>
  <c r="H31" i="14" s="1"/>
  <c r="H29" i="14"/>
  <c r="F29" i="14" l="1"/>
  <c r="E10" i="3" l="1"/>
  <c r="C35" i="10" l="1"/>
  <c r="A42" i="18" l="1"/>
  <c r="A41" i="18"/>
  <c r="A40" i="18"/>
  <c r="A39" i="18"/>
  <c r="AA95" i="10"/>
  <c r="Z95" i="10"/>
  <c r="W92" i="10"/>
  <c r="W91" i="10"/>
  <c r="W90" i="10"/>
  <c r="R92" i="10"/>
  <c r="R91" i="10"/>
  <c r="R90" i="10"/>
  <c r="M92" i="10" l="1"/>
  <c r="W95" i="10"/>
  <c r="E22" i="14" l="1"/>
  <c r="E28" i="14"/>
  <c r="Q43" i="10" l="1"/>
  <c r="AD92" i="10" l="1"/>
  <c r="AE92" i="10"/>
  <c r="AF92" i="10"/>
  <c r="AC92" i="10"/>
  <c r="V95" i="10"/>
  <c r="U95" i="10"/>
  <c r="L95" i="10"/>
  <c r="AB92" i="10" l="1"/>
  <c r="R95" i="10"/>
  <c r="G14" i="14" l="1"/>
  <c r="H14" i="14" l="1"/>
  <c r="G16" i="14"/>
  <c r="G20" i="18" l="1"/>
  <c r="H20" i="18"/>
  <c r="H21" i="18" s="1"/>
  <c r="H16" i="14"/>
  <c r="G21" i="14"/>
  <c r="D26" i="10"/>
  <c r="D27" i="10"/>
  <c r="C27" i="10"/>
  <c r="C26" i="10"/>
  <c r="H28" i="18" l="1"/>
  <c r="H34" i="14" s="1"/>
  <c r="G28" i="18"/>
  <c r="G34" i="14" s="1"/>
  <c r="G21" i="18"/>
  <c r="G8" i="18"/>
  <c r="G23" i="14"/>
  <c r="G80" i="18"/>
  <c r="H21" i="14"/>
  <c r="H8" i="18" l="1"/>
  <c r="H23" i="14"/>
  <c r="H80" i="18"/>
  <c r="D76" i="18" l="1"/>
  <c r="D34" i="19"/>
  <c r="D35" i="19"/>
  <c r="D38" i="19"/>
  <c r="D33" i="19"/>
  <c r="D26" i="19"/>
  <c r="D19" i="19"/>
  <c r="D27" i="18" s="1"/>
  <c r="AC90" i="10"/>
  <c r="AE90" i="10"/>
  <c r="AF90" i="10"/>
  <c r="AC91" i="10"/>
  <c r="AD91" i="10"/>
  <c r="AF91" i="10"/>
  <c r="C21" i="10"/>
  <c r="D21" i="10"/>
  <c r="D24" i="10" s="1"/>
  <c r="D28" i="10" s="1"/>
  <c r="D22" i="18"/>
  <c r="D23" i="18"/>
  <c r="D25" i="18"/>
  <c r="E38" i="19"/>
  <c r="E30" i="14" s="1"/>
  <c r="E36" i="19"/>
  <c r="E35" i="19"/>
  <c r="E34" i="19"/>
  <c r="E33" i="19"/>
  <c r="E26" i="19"/>
  <c r="E20" i="19"/>
  <c r="E27" i="14" s="1"/>
  <c r="E19" i="19"/>
  <c r="E26" i="14" s="1"/>
  <c r="C28" i="10" l="1"/>
  <c r="C25" i="10"/>
  <c r="E43" i="10" l="1"/>
  <c r="D19" i="18" l="1"/>
  <c r="D18" i="18" s="1"/>
  <c r="D17" i="18" s="1"/>
  <c r="E26" i="10" l="1"/>
  <c r="M73" i="10"/>
  <c r="F107" i="2" s="1"/>
  <c r="F109" i="2" s="1"/>
  <c r="H26" i="10" l="1"/>
  <c r="E30" i="10"/>
  <c r="F26" i="10"/>
  <c r="H73" i="10"/>
  <c r="H30" i="10" l="1"/>
  <c r="F30" i="10"/>
  <c r="D45" i="10" l="1"/>
  <c r="D36" i="10"/>
  <c r="D35" i="10"/>
  <c r="D34" i="10"/>
  <c r="E14" i="10" l="1"/>
  <c r="F14" i="10" s="1"/>
  <c r="H14" i="10" l="1"/>
  <c r="E8" i="3"/>
  <c r="E40" i="14" s="1"/>
  <c r="D8" i="3"/>
  <c r="D40" i="14" s="1"/>
  <c r="E27" i="18" l="1"/>
  <c r="E25" i="18"/>
  <c r="E23" i="18" l="1"/>
  <c r="E22" i="18"/>
  <c r="A49" i="19" l="1"/>
  <c r="A47" i="19"/>
  <c r="A46" i="19"/>
  <c r="E31" i="19"/>
  <c r="D31" i="19"/>
  <c r="A48" i="19" l="1"/>
  <c r="J13" i="14" l="1"/>
  <c r="J38" i="19"/>
  <c r="J23" i="18"/>
  <c r="I38" i="19"/>
  <c r="I23" i="18"/>
  <c r="I13" i="14"/>
  <c r="J30" i="14" l="1"/>
  <c r="I30" i="14"/>
  <c r="AF95" i="10" l="1"/>
  <c r="AC95" i="10" l="1"/>
  <c r="I27" i="14" l="1"/>
  <c r="I25" i="18"/>
  <c r="I19" i="18"/>
  <c r="I18" i="18" s="1"/>
  <c r="I9" i="14"/>
  <c r="J9" i="14"/>
  <c r="J19" i="18"/>
  <c r="J18" i="18" s="1"/>
  <c r="J27" i="14"/>
  <c r="J25" i="18"/>
  <c r="E15" i="14"/>
  <c r="E14" i="14"/>
  <c r="F15" i="14"/>
  <c r="I17" i="18" l="1"/>
  <c r="I11" i="14"/>
  <c r="J11" i="14"/>
  <c r="F9" i="14"/>
  <c r="F17" i="18"/>
  <c r="F19" i="18"/>
  <c r="F18" i="18" s="1"/>
  <c r="J17" i="18"/>
  <c r="I16" i="14" l="1"/>
  <c r="F11" i="14"/>
  <c r="J16" i="14"/>
  <c r="I21" i="14" l="1"/>
  <c r="J21" i="14"/>
  <c r="I18" i="19" l="1"/>
  <c r="I25" i="14" s="1"/>
  <c r="J18" i="19"/>
  <c r="I27" i="18"/>
  <c r="I22" i="14"/>
  <c r="I19" i="19"/>
  <c r="J22" i="14"/>
  <c r="J27" i="18"/>
  <c r="J19" i="19"/>
  <c r="F18" i="19" l="1"/>
  <c r="F25" i="14" s="1"/>
  <c r="J25" i="14"/>
  <c r="J39" i="19"/>
  <c r="J31" i="14" s="1"/>
  <c r="I39" i="19"/>
  <c r="I31" i="14" s="1"/>
  <c r="I26" i="14"/>
  <c r="I23" i="14"/>
  <c r="I80" i="18"/>
  <c r="I8" i="18"/>
  <c r="I20" i="18"/>
  <c r="J23" i="14"/>
  <c r="J80" i="18"/>
  <c r="J8" i="18"/>
  <c r="J26" i="14"/>
  <c r="J20" i="18"/>
  <c r="F8" i="18" l="1"/>
  <c r="I21" i="18"/>
  <c r="I28" i="18"/>
  <c r="I34" i="14" s="1"/>
  <c r="J21" i="18"/>
  <c r="J28" i="18"/>
  <c r="J34" i="14" s="1"/>
  <c r="E10" i="14" l="1"/>
  <c r="B40" i="14" l="1"/>
  <c r="B38" i="14"/>
  <c r="E37" i="14"/>
  <c r="D37" i="14"/>
  <c r="B37" i="14"/>
  <c r="E36" i="14"/>
  <c r="D36" i="14"/>
  <c r="B36" i="14"/>
  <c r="E35" i="14"/>
  <c r="D35" i="14"/>
  <c r="B35" i="14"/>
  <c r="B34" i="14"/>
  <c r="E33" i="14"/>
  <c r="D33" i="14"/>
  <c r="B33" i="14"/>
  <c r="B31" i="14"/>
  <c r="D30" i="14"/>
  <c r="B30" i="14"/>
  <c r="H43" i="10" l="1"/>
  <c r="E9" i="14"/>
  <c r="E11" i="14"/>
  <c r="B29" i="14"/>
  <c r="D28" i="14"/>
  <c r="B28" i="14"/>
  <c r="D27" i="14"/>
  <c r="B27" i="14"/>
  <c r="D26" i="14"/>
  <c r="B26" i="14"/>
  <c r="B25" i="14" l="1"/>
  <c r="B23" i="14"/>
  <c r="D22" i="14"/>
  <c r="B22" i="14"/>
  <c r="B21" i="14" l="1"/>
  <c r="E20" i="14"/>
  <c r="D20" i="14"/>
  <c r="B20" i="14"/>
  <c r="E19" i="14"/>
  <c r="D19" i="14"/>
  <c r="B19" i="14"/>
  <c r="E18" i="14"/>
  <c r="D18" i="14"/>
  <c r="B18" i="14"/>
  <c r="E17" i="14"/>
  <c r="D17" i="14"/>
  <c r="B17" i="14"/>
  <c r="D8" i="18" l="1"/>
  <c r="D18" i="19"/>
  <c r="D25" i="14" s="1"/>
  <c r="D21" i="14"/>
  <c r="D16" i="14"/>
  <c r="B16" i="14"/>
  <c r="D15" i="14"/>
  <c r="B15" i="14"/>
  <c r="B14" i="14"/>
  <c r="B13" i="14"/>
  <c r="E12" i="14"/>
  <c r="D12" i="14"/>
  <c r="B12" i="14"/>
  <c r="D80" i="18" l="1"/>
  <c r="D28" i="18"/>
  <c r="D38" i="14"/>
  <c r="D34" i="14"/>
  <c r="D11" i="14"/>
  <c r="B11" i="14"/>
  <c r="B10" i="14"/>
  <c r="D9" i="14"/>
  <c r="B9" i="14"/>
  <c r="D14" i="14"/>
  <c r="E13" i="14"/>
  <c r="E22" i="19"/>
  <c r="D22" i="19"/>
  <c r="D10" i="14"/>
  <c r="D25" i="10"/>
  <c r="D29" i="10" s="1"/>
  <c r="D33" i="10" s="1"/>
  <c r="D24" i="18" l="1"/>
  <c r="D20" i="18" s="1"/>
  <c r="E24" i="18"/>
  <c r="E29" i="14"/>
  <c r="D39" i="19"/>
  <c r="D31" i="14" s="1"/>
  <c r="D29" i="14"/>
  <c r="J45" i="10"/>
  <c r="H45" i="10" s="1"/>
  <c r="E45" i="10" s="1"/>
  <c r="E16" i="14"/>
  <c r="D13" i="14"/>
  <c r="E8" i="18" l="1"/>
  <c r="E21" i="14"/>
  <c r="F14" i="14" l="1"/>
  <c r="F27" i="14"/>
  <c r="F25" i="18"/>
  <c r="E23" i="14"/>
  <c r="D23" i="14"/>
  <c r="E80" i="18"/>
  <c r="E79" i="18" s="1"/>
  <c r="E28" i="18"/>
  <c r="E34" i="14" s="1"/>
  <c r="E18" i="19"/>
  <c r="E25" i="14" s="1"/>
  <c r="E38" i="14" l="1"/>
  <c r="E39" i="19"/>
  <c r="E31" i="14" s="1"/>
  <c r="E76" i="18"/>
  <c r="F33" i="14" l="1"/>
  <c r="G33" i="14" l="1"/>
  <c r="G79" i="18"/>
  <c r="G76" i="18" s="1"/>
  <c r="H77" i="18" l="1"/>
  <c r="G38" i="14"/>
  <c r="E34" i="10" l="1"/>
  <c r="H34" i="10" l="1"/>
  <c r="F34" i="10"/>
  <c r="E23" i="10" l="1"/>
  <c r="E27" i="10" l="1"/>
  <c r="H23" i="10"/>
  <c r="F23" i="10"/>
  <c r="H27" i="10" l="1"/>
  <c r="F27" i="10"/>
  <c r="E31" i="10"/>
  <c r="F31" i="10" s="1"/>
  <c r="E35" i="10" l="1"/>
  <c r="H35" i="10"/>
  <c r="F35" i="10"/>
  <c r="H31" i="10"/>
  <c r="E19" i="18" l="1"/>
  <c r="E18" i="18" s="1"/>
  <c r="E17" i="18" s="1"/>
  <c r="E20" i="18" l="1"/>
  <c r="E21" i="18" s="1"/>
  <c r="F13" i="14" l="1"/>
  <c r="AD90" i="10" l="1"/>
  <c r="AD95" i="10" s="1"/>
  <c r="M90" i="10"/>
  <c r="AB90" i="10" l="1"/>
  <c r="M91" i="10" l="1"/>
  <c r="M95" i="10" s="1"/>
  <c r="AE91" i="10"/>
  <c r="AE95" i="10" s="1"/>
  <c r="AB91" i="10" l="1"/>
  <c r="AB95" i="10" s="1"/>
  <c r="H96" i="10" s="1"/>
  <c r="W96" i="10" l="1"/>
  <c r="F22" i="18" l="1"/>
  <c r="E21" i="10"/>
  <c r="F23" i="18"/>
  <c r="F38" i="19"/>
  <c r="F30" i="14" s="1"/>
  <c r="H21" i="10" l="1"/>
  <c r="F21" i="10"/>
  <c r="E24" i="10"/>
  <c r="E25" i="10"/>
  <c r="H25" i="10" l="1"/>
  <c r="E29" i="10"/>
  <c r="F25" i="10"/>
  <c r="H24" i="10"/>
  <c r="F24" i="10"/>
  <c r="E28" i="10"/>
  <c r="H29" i="10" l="1"/>
  <c r="F29" i="10"/>
  <c r="H28" i="10"/>
  <c r="F28" i="10"/>
  <c r="E33" i="10"/>
  <c r="E32" i="10"/>
  <c r="H32" i="10" l="1"/>
  <c r="F32" i="10"/>
  <c r="H33" i="10"/>
  <c r="F33" i="10"/>
  <c r="E36" i="10"/>
  <c r="H36" i="10" l="1"/>
  <c r="F36" i="10"/>
  <c r="M43" i="10" l="1"/>
  <c r="M45" i="10" s="1"/>
  <c r="F16" i="14" l="1"/>
  <c r="F21" i="14" l="1"/>
  <c r="F22" i="14" l="1"/>
  <c r="F27" i="18"/>
  <c r="F19" i="19"/>
  <c r="F39" i="19" s="1"/>
  <c r="F23" i="14" l="1"/>
  <c r="F80" i="18"/>
  <c r="F79" i="18" s="1"/>
  <c r="F76" i="18" s="1"/>
  <c r="F31" i="14"/>
  <c r="F26" i="14"/>
  <c r="F20" i="18"/>
  <c r="F28" i="18" l="1"/>
  <c r="F34" i="14" s="1"/>
  <c r="F21" i="18"/>
  <c r="F38" i="14"/>
  <c r="H33" i="14" l="1"/>
  <c r="H79" i="18"/>
  <c r="H76" i="18" s="1"/>
  <c r="I77" i="18" l="1"/>
  <c r="H38" i="14"/>
  <c r="I33" i="14" l="1"/>
  <c r="I79" i="18"/>
  <c r="I76" i="18" s="1"/>
  <c r="J77" i="18" l="1"/>
  <c r="I38" i="14"/>
  <c r="J79" i="18" l="1"/>
  <c r="J33" i="14"/>
  <c r="J38" i="14" l="1"/>
  <c r="J76" i="18"/>
  <c r="A1" i="10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J10" authorId="0" shapeId="0">
      <text>
        <r>
          <rPr>
            <b/>
            <sz val="8"/>
            <color indexed="81"/>
            <rFont val="Tahoma"/>
            <charset val="1"/>
          </rPr>
          <t>добавила +20тис.грн на ремонт Пагорба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197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H20" authorId="0" shapeId="0">
      <text>
        <r>
          <rPr>
            <b/>
            <sz val="12"/>
            <color indexed="81"/>
            <rFont val="Tahoma"/>
            <family val="2"/>
            <charset val="204"/>
          </rPr>
          <t>=48,0 за І півріччя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  <author>Admin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110,1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766,5
</t>
        </r>
      </text>
    </comment>
  </commentList>
</comments>
</file>

<file path=xl/sharedStrings.xml><?xml version="1.0" encoding="utf-8"?>
<sst xmlns="http://schemas.openxmlformats.org/spreadsheetml/2006/main" count="570" uniqueCount="414">
  <si>
    <t>Код рядка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</si>
  <si>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</si>
  <si>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</si>
  <si>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</si>
  <si>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</si>
  <si>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</si>
  <si>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</si>
  <si>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</si>
  <si>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</si>
  <si>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</si>
  <si>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</si>
  <si>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</si>
  <si>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</si>
  <si>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</si>
  <si>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</si>
  <si>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</si>
  <si>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</si>
  <si>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</si>
  <si>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</si>
  <si>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</si>
  <si>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</si>
  <si>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</si>
  <si>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</si>
  <si>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</si>
  <si>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</si>
  <si>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</si>
  <si>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</si>
  <si>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</si>
  <si>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</si>
  <si>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</si>
  <si>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</si>
  <si>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</si>
  <si>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</si>
  <si>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</si>
  <si>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</si>
  <si>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</si>
  <si>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</si>
  <si>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</si>
  <si>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</si>
  <si>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</si>
  <si>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</si>
  <si>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</si>
  <si>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</si>
  <si>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</si>
  <si>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</si>
  <si>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</si>
  <si>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</si>
  <si>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</si>
  <si>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</si>
  <si>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</si>
  <si>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</si>
  <si>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</si>
  <si>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</si>
  <si>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</si>
  <si>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</si>
  <si>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</si>
  <si>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</si>
  <si>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</si>
  <si>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</si>
  <si>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</si>
  <si>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</si>
  <si>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</si>
  <si>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</si>
  <si>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</si>
  <si>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</si>
  <si>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</si>
  <si>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</si>
  <si>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</si>
  <si>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</si>
  <si>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</si>
  <si>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</si>
  <si>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</si>
  <si>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</si>
  <si>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</si>
  <si>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</si>
  <si>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</si>
  <si>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</si>
  <si>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</si>
  <si>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</si>
  <si>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</si>
  <si>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</si>
  <si>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</si>
  <si>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</si>
  <si>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</si>
  <si>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</si>
  <si>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</si>
  <si>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</si>
  <si>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</si>
  <si>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</si>
  <si>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</si>
  <si>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</si>
  <si>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</si>
  <si>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</si>
  <si>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</si>
  <si>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</si>
  <si>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</si>
  <si>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</si>
  <si>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</si>
  <si>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</si>
  <si>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</si>
  <si>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</si>
  <si>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</si>
  <si>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</si>
  <si>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</si>
  <si>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</si>
  <si>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</si>
  <si>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</si>
  <si>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</si>
  <si>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</si>
  <si>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</si>
  <si>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</si>
  <si>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</si>
  <si>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</si>
  <si>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</si>
  <si>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</si>
  <si>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</si>
  <si>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</si>
  <si>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</si>
  <si>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</si>
  <si>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</si>
  <si>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</si>
  <si>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</si>
  <si>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</si>
  <si>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</si>
  <si>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</si>
  <si>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</si>
  <si>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</si>
  <si>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</si>
  <si>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</si>
  <si>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</si>
  <si>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</si>
  <si>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</si>
  <si>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</si>
  <si>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</si>
  <si>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</si>
  <si>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</si>
  <si>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</si>
  <si>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</si>
  <si>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</si>
  <si>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</si>
  <si>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</si>
  <si>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</si>
  <si>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</si>
  <si>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</si>
  <si>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</si>
  <si>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</si>
  <si>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</si>
  <si>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</si>
  <si>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</si>
  <si>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</si>
  <si>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матеріальні витрати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</si>
  <si>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</si>
  <si>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</si>
  <si>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</si>
  <si>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</si>
  <si>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</si>
  <si>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</si>
  <si>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</si>
  <si>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</si>
  <si>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</si>
  <si>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</si>
  <si>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</si>
  <si>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</si>
  <si>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</si>
  <si>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</si>
  <si>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</si>
  <si>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</si>
  <si>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</si>
  <si>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</si>
  <si>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</si>
  <si>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</si>
  <si>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</si>
  <si>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</si>
  <si>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</si>
  <si>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</si>
  <si>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</si>
  <si>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</si>
  <si>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</si>
  <si>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</si>
  <si>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</si>
  <si>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</si>
  <si>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</si>
  <si>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</si>
  <si>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</si>
  <si>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</si>
  <si>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</si>
  <si>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</si>
  <si>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</si>
  <si>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</si>
  <si>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</si>
  <si>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</si>
  <si>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</si>
  <si>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</si>
  <si>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</si>
  <si>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</si>
  <si>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</si>
  <si>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</si>
  <si>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</si>
  <si>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</si>
  <si>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</si>
  <si>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</si>
  <si>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</si>
  <si>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</si>
  <si>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</si>
  <si>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</si>
  <si>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</si>
  <si>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</si>
  <si>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</si>
  <si>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</si>
  <si>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</si>
  <si>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</si>
  <si>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</si>
  <si>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</si>
  <si>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</si>
  <si>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</si>
  <si>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</si>
  <si>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</si>
  <si>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</si>
  <si>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</si>
  <si>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</si>
  <si>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</si>
  <si>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</si>
  <si>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</si>
  <si>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</si>
  <si>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</si>
  <si>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</si>
  <si>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</si>
  <si>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</si>
  <si>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</si>
  <si>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</si>
  <si>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</si>
  <si>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</si>
  <si>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</si>
  <si>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</si>
  <si>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</si>
  <si>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</si>
  <si>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</si>
  <si>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</si>
  <si>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</si>
  <si>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</si>
  <si>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</si>
  <si>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</si>
  <si>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</si>
  <si>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</si>
  <si>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</si>
  <si>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</si>
  <si>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</si>
  <si>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</si>
  <si>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</si>
  <si>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</si>
  <si>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</si>
  <si>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</si>
  <si>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</si>
  <si>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</si>
  <si>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</si>
  <si>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</si>
  <si>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</si>
  <si>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</si>
  <si>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</si>
  <si>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</si>
  <si>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</si>
  <si>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</si>
  <si>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</si>
  <si>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у тому числі</t>
  </si>
  <si>
    <t xml:space="preserve">Зокрема за кварталами </t>
  </si>
  <si>
    <r>
      <t xml:space="preserve">Керівник </t>
    </r>
    <r>
      <rPr>
        <sz val="12"/>
        <rFont val="Times New Roman"/>
        <family val="1"/>
        <charset val="204"/>
      </rPr>
      <t>_______________________________</t>
    </r>
  </si>
  <si>
    <t>Нарахування на заробітну плату</t>
  </si>
  <si>
    <t>витрати на газопостачання</t>
  </si>
  <si>
    <t>охорона обєкту</t>
  </si>
  <si>
    <t>витрати на водопостачання</t>
  </si>
  <si>
    <t xml:space="preserve">підписні видання </t>
  </si>
  <si>
    <t>послуги банку</t>
  </si>
  <si>
    <t>матеріальні вирати</t>
  </si>
  <si>
    <t>Інші операційні витрати (розшифрувати)</t>
  </si>
  <si>
    <t>оренда приміщення</t>
  </si>
  <si>
    <t>інші витрати на збут (розшифрувати)в т.ч.</t>
  </si>
  <si>
    <t>інші адміністративні витрати (розшифрувати) в т.ч.</t>
  </si>
  <si>
    <t xml:space="preserve">інші операційні витрати (розшифрувати) в т.ч. </t>
  </si>
  <si>
    <t>інші витрати (розшифрувати) в т.ч.</t>
  </si>
  <si>
    <t>Вивіз ТПВ</t>
  </si>
  <si>
    <t xml:space="preserve">витрати на зв'язок </t>
  </si>
  <si>
    <t>найманий транспорт</t>
  </si>
  <si>
    <t>Водопостачання</t>
  </si>
  <si>
    <t>Газопостачання</t>
  </si>
  <si>
    <t xml:space="preserve">зв'язок </t>
  </si>
  <si>
    <t>обслуговування РРО</t>
  </si>
  <si>
    <t>дивіденди</t>
  </si>
  <si>
    <t>Відшкодування  податку за землю</t>
  </si>
  <si>
    <t>Ритуальні послуги</t>
  </si>
  <si>
    <t>службова</t>
  </si>
  <si>
    <t>Витрати, всього</t>
  </si>
  <si>
    <t>Мета викори-стання</t>
  </si>
  <si>
    <t>"Комбінат комунальних підприємств" Черкаської міської ради</t>
  </si>
  <si>
    <t>ФІНАНСОВИЙ  ПЛАН  КОМУНАЛЬНОГО  ПІДПРИЄМСТВА</t>
  </si>
  <si>
    <t xml:space="preserve">Інформація </t>
  </si>
  <si>
    <t>Валовий прибуток /збиток</t>
  </si>
  <si>
    <t>Надходження від:</t>
  </si>
  <si>
    <t>РеалізаціЇ продукції  (товарів,робіт,послуг)</t>
  </si>
  <si>
    <t>Витрачання на оплату:</t>
  </si>
  <si>
    <t>Товарів(робіт,послуг)</t>
  </si>
  <si>
    <t>Працівникам</t>
  </si>
  <si>
    <t>Зобовязань з податків і зборів</t>
  </si>
  <si>
    <t>Грошові кошти від операційної діяльності,у т.ч.</t>
  </si>
  <si>
    <t>Витрачання на оплату зобовязань з ПДВ:</t>
  </si>
  <si>
    <t>3070/1</t>
  </si>
  <si>
    <t>3070/2</t>
  </si>
  <si>
    <t>Інші витрачання</t>
  </si>
  <si>
    <t>3070/1/1.</t>
  </si>
  <si>
    <t>3070/2/1.</t>
  </si>
  <si>
    <t>3070/2/2.</t>
  </si>
  <si>
    <t>3070/2/3.</t>
  </si>
  <si>
    <t>3070/2/4.</t>
  </si>
  <si>
    <t>3070/2/5.</t>
  </si>
  <si>
    <t>3070/2/6.</t>
  </si>
  <si>
    <t>капітальне будівництво</t>
  </si>
  <si>
    <t>модернізація, модифікація (добудова, дообладнання, реконструкція) основних засобів,в т.ч.</t>
  </si>
  <si>
    <t>4020/1</t>
  </si>
  <si>
    <t>А.Г. Бейн</t>
  </si>
  <si>
    <t>КП"Комбінат комунальних підприємств" Черкаської міської ради</t>
  </si>
  <si>
    <t>План рік</t>
  </si>
  <si>
    <t>у т.ч. за кварталами</t>
  </si>
  <si>
    <t>Плано-вий рік</t>
  </si>
  <si>
    <t>1992, 2006</t>
  </si>
  <si>
    <t>Ваз -2121, Шевролет</t>
  </si>
  <si>
    <t>1058/1</t>
  </si>
  <si>
    <t>1058/2</t>
  </si>
  <si>
    <t>1058/3</t>
  </si>
  <si>
    <t>1058/4</t>
  </si>
  <si>
    <t>1058/5</t>
  </si>
  <si>
    <t>1058/6</t>
  </si>
  <si>
    <t>1116/1</t>
  </si>
  <si>
    <t>1116/2</t>
  </si>
  <si>
    <t>1116/3</t>
  </si>
  <si>
    <t>1116/4</t>
  </si>
  <si>
    <t>1116/5</t>
  </si>
  <si>
    <t>1116/6</t>
  </si>
  <si>
    <t>1116/7</t>
  </si>
  <si>
    <t>1116/8</t>
  </si>
  <si>
    <t>1116/9</t>
  </si>
  <si>
    <t>1113/1</t>
  </si>
  <si>
    <t>2147/1</t>
  </si>
  <si>
    <t>2147/2</t>
  </si>
  <si>
    <t>2147/3</t>
  </si>
  <si>
    <t>Екологічний збір</t>
  </si>
  <si>
    <t>Збір за спецводокористування</t>
  </si>
  <si>
    <t>2147/4</t>
  </si>
  <si>
    <t>2147/5</t>
  </si>
  <si>
    <t>Військовий збір</t>
  </si>
  <si>
    <t>-</t>
  </si>
  <si>
    <t xml:space="preserve"> </t>
  </si>
  <si>
    <t>інші джерела (зазначити дже-рело)</t>
  </si>
  <si>
    <t>придбання (виготовлення) основних засобів ,  в т.ч.</t>
  </si>
  <si>
    <t xml:space="preserve">   </t>
  </si>
  <si>
    <t>4020/2</t>
  </si>
  <si>
    <t>обслуговування компютера,підписні видання</t>
  </si>
  <si>
    <t>витрати на поліпшення основних фондів (поточний ремонт)</t>
  </si>
  <si>
    <t>Доходи (виручка) від реалізації продукції (товарів, робіт,послуг)</t>
  </si>
  <si>
    <t>Плановий рік до факту минулого року, %</t>
  </si>
  <si>
    <t>за плановий рік</t>
  </si>
  <si>
    <t>4020/3</t>
  </si>
  <si>
    <t>4020/4</t>
  </si>
  <si>
    <t>Заборгованість за кредитами на початок____року</t>
  </si>
  <si>
    <t>податок на воду</t>
  </si>
  <si>
    <t>Керівник підприємства</t>
  </si>
  <si>
    <t xml:space="preserve">збір за спецводокористування </t>
  </si>
  <si>
    <t>екологічний податок</t>
  </si>
  <si>
    <t>податок на нерухомість</t>
  </si>
  <si>
    <t>земельний податок</t>
  </si>
  <si>
    <t>Фактичний      показник за 2018рік</t>
  </si>
  <si>
    <t>Екскаватор - навантажувач "Катерпіллар"</t>
  </si>
  <si>
    <t>4020/5</t>
  </si>
  <si>
    <t>4020/6</t>
  </si>
  <si>
    <t>Мікроавтобус для транспортування до моргу померлих на судмедекспертизу</t>
  </si>
  <si>
    <t>4020/7</t>
  </si>
  <si>
    <t>Придбання   автомобіля (автомобіля вантажопасажирського) марки FORD TRANSIT Y363 Kombi          для транспортування до моргу померлих на судмедекспертизу</t>
  </si>
  <si>
    <t>Мобільний  деревоподрібнювач</t>
  </si>
  <si>
    <t xml:space="preserve">Придбання   автобуса  марки "АТАМАН" </t>
  </si>
  <si>
    <t>Податок на нерухомість</t>
  </si>
  <si>
    <t>2147/6</t>
  </si>
  <si>
    <t>Факт минулого 2018 року</t>
  </si>
  <si>
    <t>________________</t>
  </si>
  <si>
    <r>
      <t xml:space="preserve">Керівник </t>
    </r>
    <r>
      <rPr>
        <sz val="14"/>
        <rFont val="Times New Roman"/>
        <family val="1"/>
        <charset val="204"/>
      </rPr>
      <t xml:space="preserve"> _________</t>
    </r>
  </si>
  <si>
    <t xml:space="preserve">Автобус  для супроводу </t>
  </si>
  <si>
    <t xml:space="preserve">Придбання 20 контейнерів для збирання твердих побутових відходів 1,1м3 на кладовище міста </t>
  </si>
  <si>
    <t xml:space="preserve">Придбання50 контейнерів для збирання твердих побутових відходів 1,1м3 на кладовище міста </t>
  </si>
  <si>
    <t>Заробітна плата праці</t>
  </si>
  <si>
    <t xml:space="preserve">                      (посада)</t>
  </si>
  <si>
    <t xml:space="preserve">      (підпис)</t>
  </si>
  <si>
    <t>Придбання   автомобіля МАЗ 437 №2 Супер Міні ( для вивезення сміття з кладовищ міста)</t>
  </si>
  <si>
    <t>4020/9</t>
  </si>
  <si>
    <t>Фактичний показник поточного року за І півріччя</t>
  </si>
  <si>
    <t xml:space="preserve">          (посада)</t>
  </si>
  <si>
    <r>
      <t xml:space="preserve">на </t>
    </r>
    <r>
      <rPr>
        <b/>
        <u/>
        <sz val="12"/>
        <rFont val="Times New Roman"/>
        <family val="1"/>
        <charset val="204"/>
      </rPr>
      <t>2019</t>
    </r>
    <r>
      <rPr>
        <b/>
        <sz val="12"/>
        <rFont val="Times New Roman"/>
        <family val="1"/>
        <charset val="204"/>
      </rPr>
      <t xml:space="preserve"> рік</t>
    </r>
  </si>
  <si>
    <t>План на 2019р.</t>
  </si>
  <si>
    <t>Затверджено рішенням виконавчого комітету Черкаської міської ради від 14.12.2018 №1167</t>
  </si>
  <si>
    <t xml:space="preserve">Плановий  2019 рік (усього) </t>
  </si>
  <si>
    <t>План    рік     2019  (усього)</t>
  </si>
  <si>
    <t>________________А.Г.Бейн</t>
  </si>
  <si>
    <t>___________________</t>
  </si>
  <si>
    <t>чистий дохід  від реалізації продукції (товарів, робіт, послуг),     тис. грн.</t>
  </si>
  <si>
    <t>чистий дохід  від реалізації продукції (товарів, робіт, послуг),     тис.грн.</t>
  </si>
  <si>
    <t>Зміни на плановий рік до затвердженого на поточний рік, %</t>
  </si>
  <si>
    <t xml:space="preserve">      Керівник </t>
  </si>
  <si>
    <t xml:space="preserve">                               1. Дані про підприємство, персонал та фонд заробітної плати</t>
  </si>
  <si>
    <t>Придбання автомобіля сміттєвоза ЛІВ Міні Б</t>
  </si>
  <si>
    <r>
      <t xml:space="preserve"> до змін фінансового плану на </t>
    </r>
    <r>
      <rPr>
        <b/>
        <u/>
        <sz val="14"/>
        <rFont val="Times New Roman"/>
        <family val="1"/>
        <charset val="204"/>
      </rPr>
      <t>2019</t>
    </r>
    <r>
      <rPr>
        <b/>
        <sz val="14"/>
        <rFont val="Times New Roman"/>
        <family val="1"/>
        <charset val="204"/>
      </rPr>
      <t>рік</t>
    </r>
  </si>
  <si>
    <t>Зміни до плану на 2019  (усього)</t>
  </si>
  <si>
    <t>Зміни до планового 2019року</t>
  </si>
  <si>
    <t>Факт 2017 року</t>
  </si>
  <si>
    <t>Факт  2017 року</t>
  </si>
  <si>
    <t>Факт 2017  року</t>
  </si>
  <si>
    <t>Факт минулого 2018  року</t>
  </si>
  <si>
    <t>Реконструкція Будинку Трауру (внутрішньо-оздоблювані роботи)</t>
  </si>
  <si>
    <t>Капітальний ремонт прибудинкової території будівлі "Будинку Трауру"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</si>
</sst>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0"/>
  </numFmts>
  <fonts count="9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545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1" fontId="5" fillId="0" borderId="0" xfId="248" applyNumberFormat="1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9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left" vertical="center" wrapText="1"/>
    </xf>
    <xf numFmtId="0" fontId="9" fillId="0" borderId="3" xfId="248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4" fontId="9" fillId="0" borderId="3" xfId="2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0" fillId="29" borderId="3" xfId="0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171" fontId="70" fillId="29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1" fontId="70" fillId="0" borderId="3" xfId="0" applyNumberFormat="1" applyFont="1" applyFill="1" applyBorder="1" applyAlignment="1">
      <alignment horizontal="center" vertical="center" wrapText="1"/>
    </xf>
    <xf numFmtId="0" fontId="70" fillId="0" borderId="0" xfId="0" quotePrefix="1" applyFont="1" applyFill="1" applyBorder="1" applyAlignment="1">
      <alignment horizontal="center" vertical="center"/>
    </xf>
    <xf numFmtId="170" fontId="70" fillId="0" borderId="0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171" fontId="70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9" fontId="7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69" fillId="0" borderId="24" xfId="0" applyFont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0" fontId="13" fillId="0" borderId="14" xfId="0" applyNumberFormat="1" applyFont="1" applyBorder="1" applyAlignment="1">
      <alignment horizontal="center" vertical="center" wrapText="1"/>
    </xf>
    <xf numFmtId="171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170" fontId="4" fillId="0" borderId="3" xfId="0" applyNumberFormat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 wrapText="1"/>
    </xf>
    <xf numFmtId="171" fontId="75" fillId="29" borderId="3" xfId="0" applyNumberFormat="1" applyFont="1" applyFill="1" applyBorder="1" applyAlignment="1">
      <alignment horizontal="center" vertical="center" wrapText="1"/>
    </xf>
    <xf numFmtId="171" fontId="75" fillId="0" borderId="3" xfId="0" quotePrefix="1" applyNumberFormat="1" applyFont="1" applyFill="1" applyBorder="1" applyAlignment="1">
      <alignment horizontal="center" vertical="center" wrapText="1"/>
    </xf>
    <xf numFmtId="0" fontId="75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71" fontId="78" fillId="0" borderId="3" xfId="0" applyNumberFormat="1" applyFont="1" applyFill="1" applyBorder="1" applyAlignment="1">
      <alignment horizontal="center" vertical="center" wrapText="1"/>
    </xf>
    <xf numFmtId="171" fontId="78" fillId="0" borderId="3" xfId="0" quotePrefix="1" applyNumberFormat="1" applyFont="1" applyFill="1" applyBorder="1" applyAlignment="1">
      <alignment horizontal="center" vertical="center" wrapText="1"/>
    </xf>
    <xf numFmtId="171" fontId="80" fillId="0" borderId="3" xfId="0" applyNumberFormat="1" applyFont="1" applyFill="1" applyBorder="1" applyAlignment="1">
      <alignment horizontal="center" vertical="center" wrapText="1"/>
    </xf>
    <xf numFmtId="171" fontId="79" fillId="0" borderId="3" xfId="0" quotePrefix="1" applyNumberFormat="1" applyFont="1" applyFill="1" applyBorder="1" applyAlignment="1">
      <alignment horizontal="center" vertical="center" wrapText="1"/>
    </xf>
    <xf numFmtId="2" fontId="5" fillId="0" borderId="0" xfId="248" applyNumberFormat="1" applyFont="1" applyFill="1" applyBorder="1" applyAlignment="1">
      <alignment vertical="center" wrapText="1"/>
    </xf>
    <xf numFmtId="171" fontId="8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1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/>
    </xf>
    <xf numFmtId="171" fontId="71" fillId="0" borderId="3" xfId="0" applyNumberFormat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/>
    </xf>
    <xf numFmtId="171" fontId="89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9" fillId="0" borderId="3" xfId="0" quotePrefix="1" applyFont="1" applyFill="1" applyBorder="1" applyAlignment="1">
      <alignment horizontal="center" vertical="top"/>
    </xf>
    <xf numFmtId="171" fontId="9" fillId="0" borderId="3" xfId="0" applyNumberFormat="1" applyFont="1" applyFill="1" applyBorder="1" applyAlignment="1">
      <alignment horizontal="center" vertical="top" wrapText="1"/>
    </xf>
    <xf numFmtId="171" fontId="7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/>
    </xf>
    <xf numFmtId="171" fontId="88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top" wrapText="1"/>
    </xf>
    <xf numFmtId="0" fontId="71" fillId="0" borderId="15" xfId="0" quotePrefix="1" applyFont="1" applyFill="1" applyBorder="1" applyAlignment="1">
      <alignment horizontal="center" vertical="center"/>
    </xf>
    <xf numFmtId="171" fontId="5" fillId="0" borderId="0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82" fillId="0" borderId="3" xfId="0" applyFont="1" applyBorder="1"/>
    <xf numFmtId="0" fontId="71" fillId="0" borderId="3" xfId="0" applyFont="1" applyFill="1" applyBorder="1" applyAlignment="1">
      <alignment horizontal="center" vertical="center"/>
    </xf>
    <xf numFmtId="0" fontId="5" fillId="3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1" fontId="88" fillId="0" borderId="0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71" fillId="31" borderId="3" xfId="0" applyFont="1" applyFill="1" applyBorder="1" applyAlignment="1">
      <alignment horizontal="left" vertical="center" wrapText="1"/>
    </xf>
    <xf numFmtId="0" fontId="71" fillId="31" borderId="15" xfId="0" quotePrefix="1" applyFont="1" applyFill="1" applyBorder="1" applyAlignment="1">
      <alignment horizontal="center" vertical="center"/>
    </xf>
    <xf numFmtId="171" fontId="6" fillId="31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top" wrapText="1"/>
    </xf>
    <xf numFmtId="0" fontId="71" fillId="0" borderId="3" xfId="0" applyFont="1" applyBorder="1" applyAlignment="1">
      <alignment vertical="top" wrapText="1"/>
    </xf>
    <xf numFmtId="171" fontId="5" fillId="0" borderId="3" xfId="0" applyNumberFormat="1" applyFont="1" applyFill="1" applyBorder="1" applyAlignment="1">
      <alignment horizontal="center" vertical="center" wrapText="1"/>
    </xf>
    <xf numFmtId="4" fontId="9" fillId="31" borderId="14" xfId="0" applyNumberFormat="1" applyFont="1" applyFill="1" applyBorder="1" applyAlignment="1">
      <alignment horizontal="center" vertical="center" wrapText="1"/>
    </xf>
    <xf numFmtId="4" fontId="9" fillId="31" borderId="17" xfId="0" applyNumberFormat="1" applyFont="1" applyFill="1" applyBorder="1" applyAlignment="1">
      <alignment horizontal="center" vertical="center" wrapText="1"/>
    </xf>
    <xf numFmtId="171" fontId="4" fillId="31" borderId="3" xfId="0" applyNumberFormat="1" applyFont="1" applyFill="1" applyBorder="1" applyAlignment="1">
      <alignment horizontal="center" vertical="center" wrapText="1"/>
    </xf>
    <xf numFmtId="171" fontId="5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71" fontId="85" fillId="0" borderId="0" xfId="0" applyNumberFormat="1" applyFont="1" applyBorder="1" applyAlignment="1">
      <alignment horizontal="center" vertical="center" wrapText="1"/>
    </xf>
    <xf numFmtId="171" fontId="88" fillId="0" borderId="0" xfId="0" applyNumberFormat="1" applyFont="1" applyFill="1" applyBorder="1" applyAlignment="1">
      <alignment horizontal="center" vertical="center" wrapText="1"/>
    </xf>
    <xf numFmtId="3" fontId="88" fillId="0" borderId="0" xfId="0" applyNumberFormat="1" applyFont="1" applyFill="1" applyBorder="1" applyAlignment="1">
      <alignment horizontal="center" vertical="center" wrapText="1"/>
    </xf>
    <xf numFmtId="171" fontId="88" fillId="0" borderId="0" xfId="0" applyNumberFormat="1" applyFont="1" applyFill="1" applyBorder="1" applyAlignment="1">
      <alignment horizontal="center" vertical="center"/>
    </xf>
    <xf numFmtId="178" fontId="85" fillId="0" borderId="0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0" fontId="4" fillId="31" borderId="3" xfId="0" applyNumberFormat="1" applyFont="1" applyFill="1" applyBorder="1" applyAlignment="1">
      <alignment horizontal="center" vertical="center" wrapText="1"/>
    </xf>
    <xf numFmtId="170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9" fillId="31" borderId="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87" fillId="0" borderId="3" xfId="0" applyFont="1" applyFill="1" applyBorder="1" applyAlignment="1">
      <alignment horizontal="left" vertical="center" wrapText="1"/>
    </xf>
    <xf numFmtId="0" fontId="86" fillId="0" borderId="3" xfId="0" quotePrefix="1" applyFont="1" applyFill="1" applyBorder="1" applyAlignment="1">
      <alignment horizontal="center" vertical="center"/>
    </xf>
    <xf numFmtId="4" fontId="8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1" fillId="0" borderId="18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2" fontId="4" fillId="0" borderId="0" xfId="248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29" borderId="15" xfId="0" applyFont="1" applyFill="1" applyBorder="1" applyAlignment="1">
      <alignment horizontal="center" vertical="center"/>
    </xf>
    <xf numFmtId="0" fontId="4" fillId="29" borderId="3" xfId="0" quotePrefix="1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wrapText="1"/>
    </xf>
    <xf numFmtId="0" fontId="5" fillId="0" borderId="3" xfId="0" quotePrefix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18" xfId="0" quotePrefix="1" applyNumberFormat="1" applyFont="1" applyFill="1" applyBorder="1" applyAlignment="1">
      <alignment horizontal="center" vertical="center" wrapText="1"/>
    </xf>
    <xf numFmtId="171" fontId="5" fillId="0" borderId="18" xfId="0" applyNumberFormat="1" applyFont="1" applyFill="1" applyBorder="1" applyAlignment="1">
      <alignment horizontal="center" vertical="center" wrapText="1"/>
    </xf>
    <xf numFmtId="171" fontId="88" fillId="0" borderId="18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9" fillId="31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71" fontId="9" fillId="0" borderId="23" xfId="0" applyNumberFormat="1" applyFont="1" applyFill="1" applyBorder="1" applyAlignment="1">
      <alignment wrapText="1"/>
    </xf>
    <xf numFmtId="171" fontId="5" fillId="0" borderId="0" xfId="0" applyNumberFormat="1" applyFont="1" applyFill="1" applyBorder="1" applyAlignment="1">
      <alignment vertical="center" wrapText="1"/>
    </xf>
    <xf numFmtId="171" fontId="5" fillId="0" borderId="13" xfId="0" applyNumberFormat="1" applyFont="1" applyFill="1" applyBorder="1" applyAlignment="1">
      <alignment vertical="center" wrapText="1"/>
    </xf>
    <xf numFmtId="171" fontId="9" fillId="0" borderId="0" xfId="0" applyNumberFormat="1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1" fontId="5" fillId="31" borderId="3" xfId="248" applyNumberFormat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 wrapText="1"/>
    </xf>
    <xf numFmtId="171" fontId="6" fillId="0" borderId="3" xfId="0" quotePrefix="1" applyNumberFormat="1" applyFont="1" applyFill="1" applyBorder="1" applyAlignment="1">
      <alignment horizontal="center" vertical="center" wrapText="1"/>
    </xf>
    <xf numFmtId="171" fontId="71" fillId="31" borderId="3" xfId="0" applyNumberFormat="1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75" fillId="31" borderId="3" xfId="0" applyFont="1" applyFill="1" applyBorder="1" applyAlignment="1">
      <alignment horizontal="center" vertical="center" wrapText="1" shrinkToFit="1"/>
    </xf>
    <xf numFmtId="171" fontId="91" fillId="31" borderId="3" xfId="0" applyNumberFormat="1" applyFont="1" applyFill="1" applyBorder="1" applyAlignment="1">
      <alignment horizontal="center" vertical="center" wrapText="1"/>
    </xf>
    <xf numFmtId="0" fontId="70" fillId="31" borderId="3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vertical="center"/>
    </xf>
    <xf numFmtId="3" fontId="9" fillId="31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left" vertical="center"/>
    </xf>
    <xf numFmtId="0" fontId="81" fillId="0" borderId="0" xfId="0" applyFont="1" applyFill="1" applyAlignment="1">
      <alignment vertical="center"/>
    </xf>
    <xf numFmtId="0" fontId="70" fillId="0" borderId="3" xfId="0" quotePrefix="1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70" fillId="31" borderId="3" xfId="0" applyFont="1" applyFill="1" applyBorder="1" applyAlignment="1">
      <alignment horizontal="center" vertical="center" wrapText="1" shrinkToFit="1"/>
    </xf>
    <xf numFmtId="0" fontId="81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182" applyFont="1" applyFill="1" applyBorder="1" applyAlignment="1">
      <alignment vertical="center" wrapText="1"/>
      <protection locked="0"/>
    </xf>
    <xf numFmtId="0" fontId="5" fillId="0" borderId="0" xfId="0" quotePrefix="1" applyFont="1" applyFill="1" applyBorder="1" applyAlignment="1">
      <alignment horizontal="center"/>
    </xf>
    <xf numFmtId="0" fontId="70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3" fontId="96" fillId="0" borderId="0" xfId="0" applyNumberFormat="1" applyFont="1" applyFill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left" vertical="center" wrapText="1"/>
    </xf>
    <xf numFmtId="0" fontId="96" fillId="0" borderId="3" xfId="0" applyNumberFormat="1" applyFont="1" applyFill="1" applyBorder="1" applyAlignment="1">
      <alignment horizontal="center" vertical="center" wrapText="1"/>
    </xf>
    <xf numFmtId="171" fontId="96" fillId="0" borderId="3" xfId="0" quotePrefix="1" applyNumberFormat="1" applyFont="1" applyFill="1" applyBorder="1" applyAlignment="1">
      <alignment horizontal="center" vertical="center" wrapText="1"/>
    </xf>
    <xf numFmtId="171" fontId="96" fillId="0" borderId="18" xfId="0" quotePrefix="1" applyNumberFormat="1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3" fontId="5" fillId="0" borderId="17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0" fontId="5" fillId="0" borderId="3" xfId="0" quotePrefix="1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70" fontId="9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248" applyNumberFormat="1" applyFont="1" applyFill="1" applyBorder="1" applyAlignment="1">
      <alignment horizontal="center" vertical="center" wrapText="1"/>
    </xf>
    <xf numFmtId="170" fontId="70" fillId="29" borderId="3" xfId="0" applyNumberFormat="1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horizontal="center" vertical="center"/>
    </xf>
    <xf numFmtId="170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3" fontId="4" fillId="0" borderId="17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31" borderId="18" xfId="0" applyFont="1" applyFill="1" applyBorder="1" applyAlignment="1">
      <alignment horizontal="center" vertical="top" wrapText="1"/>
    </xf>
    <xf numFmtId="0" fontId="76" fillId="31" borderId="15" xfId="0" applyFont="1" applyFill="1" applyBorder="1" applyAlignment="1">
      <alignment horizontal="center" vertical="top" wrapText="1"/>
    </xf>
    <xf numFmtId="0" fontId="70" fillId="31" borderId="3" xfId="0" applyFont="1" applyFill="1" applyBorder="1" applyAlignment="1">
      <alignment horizontal="center" vertical="center" wrapText="1"/>
    </xf>
    <xf numFmtId="171" fontId="4" fillId="0" borderId="23" xfId="0" applyNumberFormat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top" wrapText="1"/>
    </xf>
    <xf numFmtId="0" fontId="70" fillId="0" borderId="1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31" borderId="3" xfId="0" applyFont="1" applyFill="1" applyBorder="1" applyAlignment="1">
      <alignment horizontal="center" vertical="top" wrapText="1"/>
    </xf>
    <xf numFmtId="0" fontId="4" fillId="31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171" fontId="9" fillId="0" borderId="16" xfId="0" applyNumberFormat="1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center" vertical="top" wrapText="1"/>
    </xf>
    <xf numFmtId="0" fontId="4" fillId="31" borderId="18" xfId="0" applyFont="1" applyFill="1" applyBorder="1" applyAlignment="1">
      <alignment horizontal="center" vertical="top" wrapText="1"/>
    </xf>
    <xf numFmtId="0" fontId="4" fillId="31" borderId="15" xfId="0" applyFont="1" applyFill="1" applyBorder="1" applyAlignment="1">
      <alignment horizontal="center" vertical="top" wrapText="1"/>
    </xf>
    <xf numFmtId="0" fontId="70" fillId="31" borderId="17" xfId="0" applyFont="1" applyFill="1" applyBorder="1" applyAlignment="1">
      <alignment horizontal="center" vertical="top" wrapText="1"/>
    </xf>
    <xf numFmtId="0" fontId="70" fillId="31" borderId="16" xfId="0" applyFont="1" applyFill="1" applyBorder="1" applyAlignment="1">
      <alignment horizontal="center" vertical="top" wrapText="1"/>
    </xf>
    <xf numFmtId="0" fontId="70" fillId="31" borderId="14" xfId="0" applyFont="1" applyFill="1" applyBorder="1" applyAlignment="1">
      <alignment horizontal="center" vertical="top" wrapText="1"/>
    </xf>
    <xf numFmtId="0" fontId="4" fillId="0" borderId="3" xfId="248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0" fillId="0" borderId="18" xfId="248" applyFont="1" applyFill="1" applyBorder="1" applyAlignment="1">
      <alignment horizontal="center" vertical="center" wrapText="1"/>
    </xf>
    <xf numFmtId="0" fontId="70" fillId="0" borderId="15" xfId="248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top" wrapText="1" shrinkToFit="1"/>
    </xf>
    <xf numFmtId="0" fontId="70" fillId="0" borderId="3" xfId="248" applyFont="1" applyFill="1" applyBorder="1" applyAlignment="1">
      <alignment horizontal="left" vertical="center" wrapText="1"/>
    </xf>
    <xf numFmtId="0" fontId="70" fillId="0" borderId="13" xfId="0" applyFont="1" applyFill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center" wrapText="1"/>
    </xf>
    <xf numFmtId="0" fontId="7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74" fillId="0" borderId="0" xfId="0" applyFont="1" applyFill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171" fontId="70" fillId="0" borderId="17" xfId="0" applyNumberFormat="1" applyFont="1" applyFill="1" applyBorder="1" applyAlignment="1">
      <alignment horizontal="center" vertical="center" wrapText="1"/>
    </xf>
    <xf numFmtId="171" fontId="70" fillId="0" borderId="14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71" fontId="0" fillId="0" borderId="3" xfId="0" applyNumberForma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0" fillId="0" borderId="17" xfId="0" applyFont="1" applyFill="1" applyBorder="1" applyAlignment="1">
      <alignment horizontal="left" vertical="center" wrapText="1"/>
    </xf>
    <xf numFmtId="0" fontId="80" fillId="0" borderId="14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69" fillId="0" borderId="14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69" fillId="0" borderId="14" xfId="0" applyFont="1" applyBorder="1" applyAlignment="1">
      <alignment horizontal="center" vertical="top"/>
    </xf>
    <xf numFmtId="171" fontId="5" fillId="0" borderId="17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top" wrapText="1"/>
    </xf>
    <xf numFmtId="171" fontId="5" fillId="0" borderId="0" xfId="0" quotePrefix="1" applyNumberFormat="1" applyFont="1" applyFill="1" applyBorder="1" applyAlignment="1">
      <alignment horizontal="center" wrapText="1"/>
    </xf>
    <xf numFmtId="0" fontId="72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4" fontId="70" fillId="0" borderId="17" xfId="0" applyNumberFormat="1" applyFont="1" applyFill="1" applyBorder="1" applyAlignment="1">
      <alignment horizontal="center" vertical="center" wrapText="1"/>
    </xf>
    <xf numFmtId="4" fontId="70" fillId="0" borderId="1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top" wrapText="1" shrinkToFit="1"/>
    </xf>
    <xf numFmtId="0" fontId="69" fillId="0" borderId="24" xfId="0" applyFont="1" applyBorder="1" applyAlignment="1">
      <alignment horizontal="center" vertical="top" wrapText="1" shrinkToFit="1"/>
    </xf>
    <xf numFmtId="0" fontId="9" fillId="0" borderId="26" xfId="0" applyFont="1" applyFill="1" applyBorder="1" applyAlignment="1">
      <alignment horizontal="center" vertical="top" wrapText="1" shrinkToFit="1"/>
    </xf>
    <xf numFmtId="0" fontId="69" fillId="0" borderId="21" xfId="0" applyFont="1" applyBorder="1" applyAlignment="1">
      <alignment horizontal="center" vertical="top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4" fontId="9" fillId="31" borderId="3" xfId="0" applyNumberFormat="1" applyFont="1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60;&#1110;&#1085;&#1072;&#1085;&#1089;&#1086;&#1074;&#1110;%20&#1087;&#1083;&#1072;&#1085;&#1080;%20&#1090;&#1072;%20&#1079;&#1074;&#1110;&#1090;&#1080;/&#1047;&#1074;&#1110;&#1090;%20&#1087;&#1088;&#1086;%20&#1074;&#1080;&#1082;.%20&#1092;&#1110;&#1085;.&#1087;&#1083;&#1072;&#1085;&#1091;%20&#1079;&#1072;%20%202018&#1088;&#1110;&#108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Application%20Data/Microsoft/Excel/&#1042;&#1080;&#1082;&#1086;&#1085;&#1072;&#1085;&#1085;&#1103;%20&#1092;&#1110;&#1085;&#1087;&#1083;&#1072;&#1085;&#1091;%202019/&#1042;&#1080;&#1082;&#1086;&#1085;&#1072;&#1085;&#1085;&#1103;%20&#1092;&#1110;&#1085;&#1087;&#1083;&#1072;&#1085;%20%20&#1030;&#1087;&#1110;&#1074;%20&#8470;1%202019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  <sheetName val="Inform"/>
      <sheetName val="L4"/>
      <sheetName val="L10"/>
      <sheetName val="KOEF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 6. Коефіцієнти"/>
    </sheetNames>
    <sheetDataSet>
      <sheetData sheetId="0" refreshError="1"/>
      <sheetData sheetId="1">
        <row r="15">
          <cell r="D15">
            <v>12796</v>
          </cell>
        </row>
        <row r="22">
          <cell r="D22">
            <v>285.39999999999998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Фінплан-зведені показники"/>
      <sheetName val="0.1.Фінплан - зведені показники"/>
      <sheetName val="1.Фінансовий результат"/>
      <sheetName val="1.1.Фінансовий результат"/>
      <sheetName val="2.Розрахунки з бюджетом"/>
      <sheetName val="2.1Розрахунки з бюджетом"/>
      <sheetName val="3.Рух грошових коштів"/>
      <sheetName val="3.1.Рух грошових коштів"/>
      <sheetName val="4.Кап. інвестиції"/>
      <sheetName val="4.1.Кап. інвестиції"/>
      <sheetName val="5. Інша інформація"/>
      <sheetName val="6. Кофіцієнти"/>
      <sheetName val="5.1. Інша інформація"/>
    </sheetNames>
    <sheetDataSet>
      <sheetData sheetId="0"/>
      <sheetData sheetId="1"/>
      <sheetData sheetId="2">
        <row r="13">
          <cell r="D13">
            <v>8705.4000000000015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11"/>
  <sheetViews>
    <sheetView view="pageBreakPreview" zoomScale="60" zoomScaleNormal="60" workbookViewId="0">
      <selection activeCell="H35" sqref="H35"/>
    </sheetView>
  </sheetViews>
  <sheetFormatPr defaultRowHeight="18.75"/>
  <cols>
    <col min="1" max="1" width="45.42578125" style="3" customWidth="1"/>
    <col min="2" max="2" width="9.7109375" style="20" customWidth="1"/>
    <col min="3" max="3" width="11.7109375" style="20" customWidth="1"/>
    <col min="4" max="4" width="12.28515625" style="20" customWidth="1"/>
    <col min="5" max="5" width="15.85546875" style="20" customWidth="1"/>
    <col min="6" max="10" width="14.42578125" style="20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>
      <c r="A1" s="377" t="s">
        <v>293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>
      <c r="A2" s="382" t="s">
        <v>292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0">
      <c r="A3" s="377" t="s">
        <v>392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21.75" customHeight="1">
      <c r="A4" s="377" t="s">
        <v>157</v>
      </c>
      <c r="B4" s="377"/>
      <c r="C4" s="377"/>
      <c r="D4" s="377"/>
      <c r="E4" s="377"/>
      <c r="F4" s="377"/>
      <c r="G4" s="377"/>
      <c r="H4" s="377"/>
      <c r="I4" s="377"/>
      <c r="J4" s="377"/>
    </row>
    <row r="5" spans="1:10" ht="31.5" customHeight="1">
      <c r="A5" s="383" t="s">
        <v>182</v>
      </c>
      <c r="B5" s="384" t="s">
        <v>5</v>
      </c>
      <c r="C5" s="388" t="s">
        <v>409</v>
      </c>
      <c r="D5" s="388" t="s">
        <v>379</v>
      </c>
      <c r="E5" s="388" t="s">
        <v>394</v>
      </c>
      <c r="F5" s="378" t="s">
        <v>395</v>
      </c>
      <c r="G5" s="380" t="s">
        <v>264</v>
      </c>
      <c r="H5" s="380"/>
      <c r="I5" s="380"/>
      <c r="J5" s="380"/>
    </row>
    <row r="6" spans="1:10" ht="114.75" customHeight="1">
      <c r="A6" s="383"/>
      <c r="B6" s="384"/>
      <c r="C6" s="389"/>
      <c r="D6" s="389"/>
      <c r="E6" s="389"/>
      <c r="F6" s="379"/>
      <c r="G6" s="325" t="s">
        <v>144</v>
      </c>
      <c r="H6" s="325" t="s">
        <v>145</v>
      </c>
      <c r="I6" s="325" t="s">
        <v>146</v>
      </c>
      <c r="J6" s="325" t="s">
        <v>55</v>
      </c>
    </row>
    <row r="7" spans="1:10" ht="20.100000000000001" customHeight="1">
      <c r="A7" s="102">
        <v>1</v>
      </c>
      <c r="B7" s="59">
        <v>2</v>
      </c>
      <c r="C7" s="102">
        <v>3</v>
      </c>
      <c r="D7" s="301">
        <v>4</v>
      </c>
      <c r="E7" s="102">
        <v>5</v>
      </c>
      <c r="F7" s="301">
        <v>6</v>
      </c>
      <c r="G7" s="102">
        <v>7</v>
      </c>
      <c r="H7" s="301">
        <v>8</v>
      </c>
      <c r="I7" s="102">
        <v>9</v>
      </c>
      <c r="J7" s="301">
        <v>10</v>
      </c>
    </row>
    <row r="8" spans="1:10" ht="24.95" customHeight="1">
      <c r="A8" s="387" t="s">
        <v>79</v>
      </c>
      <c r="B8" s="387"/>
      <c r="C8" s="387"/>
      <c r="D8" s="387"/>
      <c r="E8" s="387"/>
      <c r="F8" s="387"/>
      <c r="G8" s="387"/>
      <c r="H8" s="387"/>
      <c r="I8" s="387"/>
      <c r="J8" s="387"/>
    </row>
    <row r="9" spans="1:10" ht="37.5" customHeight="1">
      <c r="A9" s="328" t="s">
        <v>158</v>
      </c>
      <c r="B9" s="102">
        <f>'1.Фінансовий результат'!B13</f>
        <v>1040</v>
      </c>
      <c r="C9" s="74">
        <f>'1.Фінансовий результат'!C13</f>
        <v>12014</v>
      </c>
      <c r="D9" s="74">
        <f>'1.Фінансовий результат'!D13</f>
        <v>15485.199999999999</v>
      </c>
      <c r="E9" s="74">
        <f>'1.Фінансовий результат'!E13</f>
        <v>15217</v>
      </c>
      <c r="F9" s="74">
        <f>'1.Фінансовий результат'!F13</f>
        <v>18975.400000000001</v>
      </c>
      <c r="G9" s="74">
        <f>'1.Фінансовий результат'!G13</f>
        <v>4057</v>
      </c>
      <c r="H9" s="74">
        <f>'1.Фінансовий результат'!H13</f>
        <v>4648.3999999999996</v>
      </c>
      <c r="I9" s="74">
        <f>'1.Фінансовий результат'!I13</f>
        <v>4932.3999999999996</v>
      </c>
      <c r="J9" s="74">
        <f>'1.Фінансовий результат'!J13</f>
        <v>5337.6</v>
      </c>
    </row>
    <row r="10" spans="1:10" ht="37.5" customHeight="1">
      <c r="A10" s="328" t="s">
        <v>132</v>
      </c>
      <c r="B10" s="102">
        <f>'1.Фінансовий результат'!B14</f>
        <v>1050</v>
      </c>
      <c r="C10" s="74">
        <f>'1.Фінансовий результат'!C14</f>
        <v>9815</v>
      </c>
      <c r="D10" s="74">
        <f>'1.Фінансовий результат'!D14</f>
        <v>12796</v>
      </c>
      <c r="E10" s="74">
        <f>'1.Фінансовий результат'!E14</f>
        <v>12273.545999999998</v>
      </c>
      <c r="F10" s="74">
        <f>'1.Фінансовий результат'!F14</f>
        <v>15279.900000000001</v>
      </c>
      <c r="G10" s="74">
        <f>'1.Фінансовий результат'!G14</f>
        <v>3202</v>
      </c>
      <c r="H10" s="74">
        <f>'1.Фінансовий результат'!H14</f>
        <v>3858.3</v>
      </c>
      <c r="I10" s="74">
        <f>'1.Фінансовий результат'!I14</f>
        <v>3918.3</v>
      </c>
      <c r="J10" s="74">
        <f>'1.Фінансовий результат'!J14</f>
        <v>4301.3</v>
      </c>
    </row>
    <row r="11" spans="1:10" ht="25.5" customHeight="1">
      <c r="A11" s="328" t="s">
        <v>196</v>
      </c>
      <c r="B11" s="111">
        <f>'1.Фінансовий результат'!B29</f>
        <v>1060</v>
      </c>
      <c r="C11" s="74">
        <f>'1.Фінансовий результат'!C29</f>
        <v>2199</v>
      </c>
      <c r="D11" s="74">
        <f>'1.Фінансовий результат'!D29</f>
        <v>2689.1999999999989</v>
      </c>
      <c r="E11" s="74">
        <f>'1.Фінансовий результат'!E29</f>
        <v>2943.4540000000015</v>
      </c>
      <c r="F11" s="74">
        <f>'1.Фінансовий результат'!F29</f>
        <v>3695.5</v>
      </c>
      <c r="G11" s="74">
        <f>'1.Фінансовий результат'!G29</f>
        <v>855</v>
      </c>
      <c r="H11" s="74">
        <f>'1.Фінансовий результат'!H29</f>
        <v>790.1</v>
      </c>
      <c r="I11" s="74">
        <f>'1.Фінансовий результат'!I29</f>
        <v>1014.1</v>
      </c>
      <c r="J11" s="74">
        <f>'1.Фінансовий результат'!J29</f>
        <v>1036.3</v>
      </c>
    </row>
    <row r="12" spans="1:10" ht="20.100000000000001" customHeight="1">
      <c r="A12" s="328" t="s">
        <v>238</v>
      </c>
      <c r="B12" s="102">
        <f>'1.Фінансовий результат'!B30</f>
        <v>1070</v>
      </c>
      <c r="C12" s="84">
        <f>'1.Фінансовий результат'!C30</f>
        <v>0</v>
      </c>
      <c r="D12" s="84">
        <f>'1.Фінансовий результат'!D30</f>
        <v>0</v>
      </c>
      <c r="E12" s="84">
        <f>'1.Фінансовий результат'!E30</f>
        <v>0</v>
      </c>
      <c r="F12" s="84">
        <f>'1.Фінансовий результат'!F30</f>
        <v>0</v>
      </c>
      <c r="G12" s="84">
        <f>'1.Фінансовий результат'!G30</f>
        <v>0</v>
      </c>
      <c r="H12" s="84">
        <f>'1.Фінансовий результат'!H30</f>
        <v>0</v>
      </c>
      <c r="I12" s="84">
        <f>'1.Фінансовий результат'!I30</f>
        <v>0</v>
      </c>
      <c r="J12" s="84">
        <f>'1.Фінансовий результат'!J30</f>
        <v>0</v>
      </c>
    </row>
    <row r="13" spans="1:10" ht="20.100000000000001" customHeight="1">
      <c r="A13" s="328" t="s">
        <v>111</v>
      </c>
      <c r="B13" s="102">
        <f>'1.Фінансовий результат'!B31</f>
        <v>1080</v>
      </c>
      <c r="C13" s="112">
        <f>'1.Фінансовий результат'!C31</f>
        <v>1491.4</v>
      </c>
      <c r="D13" s="112">
        <f>'1.Фінансовий результат'!D31</f>
        <v>1856.1999999999996</v>
      </c>
      <c r="E13" s="112">
        <f>'1.Фінансовий результат'!E31</f>
        <v>1930.864</v>
      </c>
      <c r="F13" s="112">
        <f>'1.Фінансовий результат'!F31</f>
        <v>2769.8</v>
      </c>
      <c r="G13" s="112">
        <f>'1.Фінансовий результат'!G31</f>
        <v>613.5</v>
      </c>
      <c r="H13" s="112">
        <f>'1.Фінансовий результат'!H31</f>
        <v>569.79999999999995</v>
      </c>
      <c r="I13" s="112">
        <f>'1.Фінансовий результат'!I31</f>
        <v>783.3</v>
      </c>
      <c r="J13" s="112">
        <f>'1.Фінансовий результат'!J31</f>
        <v>803.2</v>
      </c>
    </row>
    <row r="14" spans="1:10" ht="20.100000000000001" customHeight="1">
      <c r="A14" s="328" t="s">
        <v>108</v>
      </c>
      <c r="B14" s="102">
        <f>'1.Фінансовий результат'!B62</f>
        <v>1110</v>
      </c>
      <c r="C14" s="112">
        <f>'1.Фінансовий результат'!C62</f>
        <v>553.79999999999995</v>
      </c>
      <c r="D14" s="112">
        <f>'1.Фінансовий результат'!D62</f>
        <v>684.7</v>
      </c>
      <c r="E14" s="112">
        <f>'1.Фінансовий результат'!E62</f>
        <v>851.4</v>
      </c>
      <c r="F14" s="112">
        <f>'1.Фінансовий результат'!F62</f>
        <v>823.35</v>
      </c>
      <c r="G14" s="112">
        <f>'1.Фінансовий результат'!G62</f>
        <v>209.4</v>
      </c>
      <c r="H14" s="112">
        <f>'1.Фінансовий результат'!H62</f>
        <v>194.7</v>
      </c>
      <c r="I14" s="112">
        <f>'1.Фінансовий результат'!I62</f>
        <v>208</v>
      </c>
      <c r="J14" s="112">
        <f>'1.Фінансовий результат'!J62</f>
        <v>211.3</v>
      </c>
    </row>
    <row r="15" spans="1:10" ht="20.100000000000001" customHeight="1">
      <c r="A15" s="328" t="s">
        <v>12</v>
      </c>
      <c r="B15" s="102">
        <f>'1.Фінансовий результат'!B79</f>
        <v>1120</v>
      </c>
      <c r="C15" s="112">
        <f>'1.Фінансовий результат'!C79</f>
        <v>121.2</v>
      </c>
      <c r="D15" s="112">
        <f>'1.Фінансовий результат'!D79</f>
        <v>105.39999999999999</v>
      </c>
      <c r="E15" s="112">
        <f>'1.Фінансовий результат'!E79</f>
        <v>121.2</v>
      </c>
      <c r="F15" s="112">
        <f>'1.Фінансовий результат'!F79</f>
        <v>65.400000000000006</v>
      </c>
      <c r="G15" s="112">
        <f>'1.Фінансовий результат'!G79</f>
        <v>16.3</v>
      </c>
      <c r="H15" s="112">
        <f>'1.Фінансовий результат'!H79</f>
        <v>16.399999999999999</v>
      </c>
      <c r="I15" s="112">
        <f>'1.Фінансовий результат'!I79</f>
        <v>16.3</v>
      </c>
      <c r="J15" s="112">
        <f>'1.Фінансовий результат'!J79</f>
        <v>16.399999999999999</v>
      </c>
    </row>
    <row r="16" spans="1:10" ht="59.25" customHeight="1">
      <c r="A16" s="166" t="s">
        <v>241</v>
      </c>
      <c r="B16" s="129">
        <f>'1.Фінансовий результат'!B90</f>
        <v>1130</v>
      </c>
      <c r="C16" s="165">
        <f>'1.Фінансовий результат'!C90</f>
        <v>32.599999999999952</v>
      </c>
      <c r="D16" s="165">
        <f>'1.Фінансовий результат'!D90</f>
        <v>42.899999999999281</v>
      </c>
      <c r="E16" s="165">
        <f>'1.Фінансовий результат'!E90</f>
        <v>39.99000000000153</v>
      </c>
      <c r="F16" s="165">
        <f>'1.Фінансовий результат'!F90</f>
        <v>36.9</v>
      </c>
      <c r="G16" s="165">
        <f>'1.Фінансовий результат'!G90</f>
        <v>15.8</v>
      </c>
      <c r="H16" s="165">
        <f>'1.Фінансовий результат'!H90</f>
        <v>9.1999999999999993</v>
      </c>
      <c r="I16" s="165">
        <f>'1.Фінансовий результат'!I90</f>
        <v>6.5</v>
      </c>
      <c r="J16" s="165">
        <f>'1.Фінансовий результат'!J90</f>
        <v>5.4</v>
      </c>
    </row>
    <row r="17" spans="1:10" ht="20.100000000000001" customHeight="1">
      <c r="A17" s="167" t="s">
        <v>249</v>
      </c>
      <c r="B17" s="102">
        <f>'1.Фінансовий результат'!B91</f>
        <v>1140</v>
      </c>
      <c r="C17" s="84">
        <f>'1.Фінансовий результат'!C91</f>
        <v>0</v>
      </c>
      <c r="D17" s="84">
        <f>'1.Фінансовий результат'!D91</f>
        <v>0</v>
      </c>
      <c r="E17" s="84">
        <f>'1.Фінансовий результат'!E91</f>
        <v>0</v>
      </c>
      <c r="F17" s="84">
        <f>'1.Фінансовий результат'!F91</f>
        <v>0</v>
      </c>
      <c r="G17" s="84">
        <f>'1.Фінансовий результат'!G91</f>
        <v>0</v>
      </c>
      <c r="H17" s="84">
        <f>'1.Фінансовий результат'!H91</f>
        <v>0</v>
      </c>
      <c r="I17" s="84">
        <f>'1.Фінансовий результат'!I91</f>
        <v>0</v>
      </c>
      <c r="J17" s="84">
        <f>'1.Фінансовий результат'!J91</f>
        <v>0</v>
      </c>
    </row>
    <row r="18" spans="1:10" ht="20.100000000000001" customHeight="1">
      <c r="A18" s="167" t="s">
        <v>250</v>
      </c>
      <c r="B18" s="102">
        <f>'1.Фінансовий результат'!B92</f>
        <v>1150</v>
      </c>
      <c r="C18" s="84">
        <f>'1.Фінансовий результат'!C92</f>
        <v>0</v>
      </c>
      <c r="D18" s="84">
        <f>'1.Фінансовий результат'!D92</f>
        <v>0</v>
      </c>
      <c r="E18" s="84">
        <f>'1.Фінансовий результат'!E92</f>
        <v>0</v>
      </c>
      <c r="F18" s="84">
        <f>'1.Фінансовий результат'!F92</f>
        <v>0</v>
      </c>
      <c r="G18" s="84">
        <f>'1.Фінансовий результат'!G92</f>
        <v>0</v>
      </c>
      <c r="H18" s="84">
        <f>'1.Фінансовий результат'!H92</f>
        <v>0</v>
      </c>
      <c r="I18" s="84">
        <f>'1.Фінансовий результат'!I92</f>
        <v>0</v>
      </c>
      <c r="J18" s="84">
        <f>'1.Фінансовий результат'!J92</f>
        <v>0</v>
      </c>
    </row>
    <row r="19" spans="1:10" ht="20.100000000000001" customHeight="1">
      <c r="A19" s="328" t="s">
        <v>239</v>
      </c>
      <c r="B19" s="102">
        <f>'1.Фінансовий результат'!B93</f>
        <v>1160</v>
      </c>
      <c r="C19" s="84">
        <f>'1.Фінансовий результат'!C93</f>
        <v>0</v>
      </c>
      <c r="D19" s="84">
        <f>'1.Фінансовий результат'!D93</f>
        <v>0</v>
      </c>
      <c r="E19" s="84">
        <f>'1.Фінансовий результат'!E93</f>
        <v>0</v>
      </c>
      <c r="F19" s="84">
        <f>'1.Фінансовий результат'!F93</f>
        <v>0</v>
      </c>
      <c r="G19" s="84">
        <f>'1.Фінансовий результат'!G93</f>
        <v>0</v>
      </c>
      <c r="H19" s="84">
        <f>'1.Фінансовий результат'!H93</f>
        <v>0</v>
      </c>
      <c r="I19" s="84">
        <f>'1.Фінансовий результат'!I93</f>
        <v>0</v>
      </c>
      <c r="J19" s="84">
        <f>'1.Фінансовий результат'!J93</f>
        <v>0</v>
      </c>
    </row>
    <row r="20" spans="1:10" ht="20.100000000000001" customHeight="1">
      <c r="A20" s="328" t="s">
        <v>240</v>
      </c>
      <c r="B20" s="102">
        <f>'1.Фінансовий результат'!B94</f>
        <v>1170</v>
      </c>
      <c r="C20" s="84">
        <f>'1.Фінансовий результат'!C94</f>
        <v>0</v>
      </c>
      <c r="D20" s="84">
        <f>'1.Фінансовий результат'!D94</f>
        <v>0</v>
      </c>
      <c r="E20" s="84">
        <f>'1.Фінансовий результат'!E94</f>
        <v>0</v>
      </c>
      <c r="F20" s="84">
        <f>'1.Фінансовий результат'!F94</f>
        <v>0</v>
      </c>
      <c r="G20" s="84">
        <f>'1.Фінансовий результат'!G94</f>
        <v>0</v>
      </c>
      <c r="H20" s="84">
        <f>'1.Фінансовий результат'!H94</f>
        <v>0</v>
      </c>
      <c r="I20" s="84">
        <f>'1.Фінансовий результат'!I94</f>
        <v>0</v>
      </c>
      <c r="J20" s="84">
        <f>'1.Фінансовий результат'!J94</f>
        <v>0</v>
      </c>
    </row>
    <row r="21" spans="1:10" ht="43.5" customHeight="1">
      <c r="A21" s="167" t="s">
        <v>243</v>
      </c>
      <c r="B21" s="111">
        <f>'1.Фінансовий результат'!B95</f>
        <v>1200</v>
      </c>
      <c r="C21" s="74">
        <f>'1.Фінансовий результат'!C95</f>
        <v>32.599999999999952</v>
      </c>
      <c r="D21" s="74">
        <f>'1.Фінансовий результат'!D95</f>
        <v>42.899999999999281</v>
      </c>
      <c r="E21" s="74">
        <f>'1.Фінансовий результат'!E95</f>
        <v>39.99000000000153</v>
      </c>
      <c r="F21" s="74">
        <f>'1.Фінансовий результат'!F95</f>
        <v>36.9</v>
      </c>
      <c r="G21" s="74">
        <f>'1.Фінансовий результат'!G95</f>
        <v>15.8</v>
      </c>
      <c r="H21" s="74">
        <f>'1.Фінансовий результат'!H95</f>
        <v>9.1999999999999993</v>
      </c>
      <c r="I21" s="74">
        <f>'1.Фінансовий результат'!I95</f>
        <v>6.5</v>
      </c>
      <c r="J21" s="74">
        <f>'1.Фінансовий результат'!J95</f>
        <v>5.4</v>
      </c>
    </row>
    <row r="22" spans="1:10" ht="37.5" customHeight="1">
      <c r="A22" s="327" t="s">
        <v>109</v>
      </c>
      <c r="B22" s="102">
        <f>'1.Фінансовий результат'!B96</f>
        <v>1210</v>
      </c>
      <c r="C22" s="112">
        <f>'1.Фінансовий результат'!C96</f>
        <v>5.9</v>
      </c>
      <c r="D22" s="112">
        <f>'1.Фінансовий результат'!D96</f>
        <v>7.8</v>
      </c>
      <c r="E22" s="112">
        <f>'1.Фінансовий результат'!E96</f>
        <v>7.2</v>
      </c>
      <c r="F22" s="112">
        <f>'1.Фінансовий результат'!F96</f>
        <v>7.2</v>
      </c>
      <c r="G22" s="112">
        <f>'1.Фінансовий результат'!G96</f>
        <v>2.8</v>
      </c>
      <c r="H22" s="112">
        <f>'1.Фінансовий результат'!H96</f>
        <v>2.2000000000000002</v>
      </c>
      <c r="I22" s="112">
        <f>'1.Фінансовий результат'!I96</f>
        <v>1.2</v>
      </c>
      <c r="J22" s="112">
        <f>'1.Фінансовий результат'!J96</f>
        <v>1</v>
      </c>
    </row>
    <row r="23" spans="1:10" ht="39" customHeight="1">
      <c r="A23" s="166" t="s">
        <v>244</v>
      </c>
      <c r="B23" s="129">
        <f>'1.Фінансовий результат'!B98</f>
        <v>1230</v>
      </c>
      <c r="C23" s="165">
        <f>'1.Фінансовий результат'!C98</f>
        <v>26.699999999999953</v>
      </c>
      <c r="D23" s="165">
        <f>'1.Фінансовий результат'!D98</f>
        <v>35.099999999999284</v>
      </c>
      <c r="E23" s="165">
        <f>'1.Фінансовий результат'!E98</f>
        <v>32.790000000001527</v>
      </c>
      <c r="F23" s="165">
        <f>'1.Фінансовий результат'!F98</f>
        <v>29.7</v>
      </c>
      <c r="G23" s="165">
        <f>'1.Фінансовий результат'!G98</f>
        <v>13</v>
      </c>
      <c r="H23" s="165">
        <f>'1.Фінансовий результат'!H98</f>
        <v>7</v>
      </c>
      <c r="I23" s="165">
        <f>'1.Фінансовий результат'!I98</f>
        <v>5.3</v>
      </c>
      <c r="J23" s="165">
        <f>'1.Фінансовий результат'!J98</f>
        <v>4.4000000000000004</v>
      </c>
    </row>
    <row r="24" spans="1:10" ht="24.95" customHeight="1">
      <c r="A24" s="390" t="s">
        <v>119</v>
      </c>
      <c r="B24" s="390"/>
      <c r="C24" s="390"/>
      <c r="D24" s="390"/>
      <c r="E24" s="390"/>
      <c r="F24" s="390"/>
      <c r="G24" s="390"/>
      <c r="H24" s="390"/>
      <c r="I24" s="390"/>
      <c r="J24" s="390"/>
    </row>
    <row r="25" spans="1:10" ht="38.25" customHeight="1">
      <c r="A25" s="168" t="s">
        <v>183</v>
      </c>
      <c r="B25" s="102">
        <f>'2. Розрахунки з бюджетом'!B18</f>
        <v>2100</v>
      </c>
      <c r="C25" s="74">
        <f>'2. Розрахунки з бюджетом'!C18</f>
        <v>4</v>
      </c>
      <c r="D25" s="74">
        <f>'2. Розрахунки з бюджетом'!D18</f>
        <v>5.2649999999998922</v>
      </c>
      <c r="E25" s="74">
        <f>'2. Розрахунки з бюджетом'!E18</f>
        <v>4.918500000000229</v>
      </c>
      <c r="F25" s="74">
        <f>'2. Розрахунки з бюджетом'!F18</f>
        <v>5.3</v>
      </c>
      <c r="G25" s="74">
        <f>'2. Розрахунки з бюджетом'!G18</f>
        <v>1.9999999999999998</v>
      </c>
      <c r="H25" s="74">
        <f>'2. Розрахунки з бюджетом'!H18</f>
        <v>1.1000000000000001</v>
      </c>
      <c r="I25" s="74">
        <f>'2. Розрахунки з бюджетом'!I18</f>
        <v>1.2</v>
      </c>
      <c r="J25" s="74">
        <f>'2. Розрахунки з бюджетом'!J18</f>
        <v>1</v>
      </c>
    </row>
    <row r="26" spans="1:10" ht="20.100000000000001" customHeight="1">
      <c r="A26" s="320" t="s">
        <v>118</v>
      </c>
      <c r="B26" s="102">
        <f>'2. Розрахунки з бюджетом'!B19</f>
        <v>2110</v>
      </c>
      <c r="C26" s="74">
        <f>'2. Розрахунки з бюджетом'!C19</f>
        <v>6</v>
      </c>
      <c r="D26" s="74">
        <f>'2. Розрахунки з бюджетом'!D19</f>
        <v>7.8</v>
      </c>
      <c r="E26" s="74">
        <f>'2. Розрахунки з бюджетом'!E19</f>
        <v>7.2</v>
      </c>
      <c r="F26" s="74">
        <f>'2. Розрахунки з бюджетом'!F19</f>
        <v>7.2</v>
      </c>
      <c r="G26" s="74">
        <f>'2. Розрахунки з бюджетом'!G19</f>
        <v>2.8</v>
      </c>
      <c r="H26" s="74">
        <f>'2. Розрахунки з бюджетом'!H19</f>
        <v>2.2000000000000002</v>
      </c>
      <c r="I26" s="74">
        <f>'2. Розрахунки з бюджетом'!I19</f>
        <v>1.2</v>
      </c>
      <c r="J26" s="74">
        <f>'2. Розрахунки з бюджетом'!J19</f>
        <v>1</v>
      </c>
    </row>
    <row r="27" spans="1:10" ht="76.5" customHeight="1">
      <c r="A27" s="320" t="s">
        <v>216</v>
      </c>
      <c r="B27" s="102">
        <f>'2. Розрахунки з бюджетом'!B20</f>
        <v>2120</v>
      </c>
      <c r="C27" s="74">
        <f>'2. Розрахунки з бюджетом'!C20</f>
        <v>59.7</v>
      </c>
      <c r="D27" s="74">
        <f>'2. Розрахунки з бюджетом'!D20</f>
        <v>45</v>
      </c>
      <c r="E27" s="74">
        <f>'2. Розрахунки з бюджетом'!E20</f>
        <v>95.710799999999978</v>
      </c>
      <c r="F27" s="74">
        <f>'2. Розрахунки з бюджетом'!F20</f>
        <v>58</v>
      </c>
      <c r="G27" s="74">
        <f>'2. Розрахунки з бюджетом'!G20</f>
        <v>22</v>
      </c>
      <c r="H27" s="74">
        <f>'2. Розрахунки з бюджетом'!H20</f>
        <v>26</v>
      </c>
      <c r="I27" s="74">
        <f>'2. Розрахунки з бюджетом'!I20</f>
        <v>5</v>
      </c>
      <c r="J27" s="74">
        <f>'2. Розрахунки з бюджетом'!J20</f>
        <v>5</v>
      </c>
    </row>
    <row r="28" spans="1:10" ht="78.75" customHeight="1">
      <c r="A28" s="320" t="s">
        <v>217</v>
      </c>
      <c r="B28" s="102">
        <f>'2. Розрахунки з бюджетом'!B21</f>
        <v>2130</v>
      </c>
      <c r="C28" s="74">
        <f>'2. Розрахунки з бюджетом'!C21</f>
        <v>0</v>
      </c>
      <c r="D28" s="74">
        <f>'2. Розрахунки з бюджетом'!D21</f>
        <v>0</v>
      </c>
      <c r="E28" s="74">
        <f>'2. Розрахунки з бюджетом'!E21</f>
        <v>0</v>
      </c>
      <c r="F28" s="74">
        <f>'2. Розрахунки з бюджетом'!F21</f>
        <v>0</v>
      </c>
      <c r="G28" s="74">
        <f>'2. Розрахунки з бюджетом'!G21</f>
        <v>0</v>
      </c>
      <c r="H28" s="74">
        <f>'2. Розрахунки з бюджетом'!H21</f>
        <v>0</v>
      </c>
      <c r="I28" s="74">
        <f>'2. Розрахунки з бюджетом'!I21</f>
        <v>0</v>
      </c>
      <c r="J28" s="74">
        <f>'2. Розрахунки з бюджетом'!J21</f>
        <v>0</v>
      </c>
    </row>
    <row r="29" spans="1:10" ht="66" customHeight="1">
      <c r="A29" s="168" t="s">
        <v>177</v>
      </c>
      <c r="B29" s="102">
        <f>'2. Розрахунки з бюджетом'!B22</f>
        <v>2140</v>
      </c>
      <c r="C29" s="74">
        <f>'2. Розрахунки з бюджетом'!C22</f>
        <v>1325.5</v>
      </c>
      <c r="D29" s="74">
        <f>'2. Розрахунки з бюджетом'!D22</f>
        <v>1503.8364520000002</v>
      </c>
      <c r="E29" s="74">
        <f>'2. Розрахунки з бюджетом'!E22</f>
        <v>1573.9759999999997</v>
      </c>
      <c r="F29" s="74">
        <f>'2. Розрахунки з бюджетом'!F22</f>
        <v>2003.3400000000001</v>
      </c>
      <c r="G29" s="74">
        <f>'2. Розрахунки з бюджетом'!G22</f>
        <v>474.6</v>
      </c>
      <c r="H29" s="74">
        <f>'2. Розрахунки з бюджетом'!H22</f>
        <v>465.24</v>
      </c>
      <c r="I29" s="74">
        <f>'2. Розрахунки з бюджетом'!I22</f>
        <v>528.20000000000005</v>
      </c>
      <c r="J29" s="74">
        <f>'2. Розрахунки з бюджетом'!J22</f>
        <v>535.29999999999995</v>
      </c>
    </row>
    <row r="30" spans="1:10" ht="39" customHeight="1">
      <c r="A30" s="168" t="s">
        <v>66</v>
      </c>
      <c r="B30" s="102">
        <f>'2. Розрахунки з бюджетом'!B38</f>
        <v>2150</v>
      </c>
      <c r="C30" s="74">
        <f>'2. Розрахунки з бюджетом'!C38</f>
        <v>1145</v>
      </c>
      <c r="D30" s="74">
        <f>'2. Розрахунки з бюджетом'!D38</f>
        <v>1510.5</v>
      </c>
      <c r="E30" s="74">
        <f>'2. Розрахунки з бюджетом'!E38</f>
        <v>1636.1099999999997</v>
      </c>
      <c r="F30" s="74">
        <f>'2. Розрахунки з бюджетом'!F38</f>
        <v>2163.6</v>
      </c>
      <c r="G30" s="74">
        <f>'2. Розрахунки з бюджетом'!G38</f>
        <v>453.2</v>
      </c>
      <c r="H30" s="74">
        <f>'2. Розрахунки з бюджетом'!H38</f>
        <v>480.8</v>
      </c>
      <c r="I30" s="74">
        <f>'2. Розрахунки з бюджетом'!I38</f>
        <v>576.99</v>
      </c>
      <c r="J30" s="74">
        <f>'2. Розрахунки з бюджетом'!J38</f>
        <v>652.61199999999997</v>
      </c>
    </row>
    <row r="31" spans="1:10" ht="27.75" customHeight="1">
      <c r="A31" s="168" t="s">
        <v>184</v>
      </c>
      <c r="B31" s="111">
        <f>'2. Розрахунки з бюджетом'!B39</f>
        <v>2200</v>
      </c>
      <c r="C31" s="74">
        <f>'2. Розрахунки з бюджетом'!C39</f>
        <v>2540.1999999999998</v>
      </c>
      <c r="D31" s="74">
        <f>'2. Розрахунки з бюджетом'!D39</f>
        <v>3072.4014520000001</v>
      </c>
      <c r="E31" s="74">
        <f>'2. Розрахунки з бюджетом'!E39</f>
        <v>3317.9152999999997</v>
      </c>
      <c r="F31" s="74">
        <f>'2. Розрахунки з бюджетом'!F39</f>
        <v>4237.4400000000005</v>
      </c>
      <c r="G31" s="74">
        <f>'2. Розрахунки з бюджетом'!G39</f>
        <v>954.6</v>
      </c>
      <c r="H31" s="74">
        <f>'2. Розрахунки з бюджетом'!H39</f>
        <v>975.34</v>
      </c>
      <c r="I31" s="74">
        <f>'2. Розрахунки з бюджетом'!I39</f>
        <v>1112.5900000000001</v>
      </c>
      <c r="J31" s="74">
        <f>'2. Розрахунки з бюджетом'!J39</f>
        <v>1194.9119999999998</v>
      </c>
    </row>
    <row r="32" spans="1:10" ht="24.95" customHeight="1">
      <c r="A32" s="390" t="s">
        <v>117</v>
      </c>
      <c r="B32" s="390"/>
      <c r="C32" s="390"/>
      <c r="D32" s="390"/>
      <c r="E32" s="390"/>
      <c r="F32" s="390"/>
      <c r="G32" s="390"/>
      <c r="H32" s="390"/>
      <c r="I32" s="390"/>
      <c r="J32" s="390"/>
    </row>
    <row r="33" spans="1:10" ht="20.100000000000001" customHeight="1">
      <c r="A33" s="168" t="s">
        <v>112</v>
      </c>
      <c r="B33" s="111">
        <f>'3. Рух грошових коштів'!B77</f>
        <v>3600</v>
      </c>
      <c r="C33" s="74">
        <f>'3. Рух грошових коштів'!C77</f>
        <v>59</v>
      </c>
      <c r="D33" s="74">
        <f>'3. Рух грошових коштів'!D77</f>
        <v>137</v>
      </c>
      <c r="E33" s="74">
        <f>'3. Рух грошових коштів'!E77</f>
        <v>60</v>
      </c>
      <c r="F33" s="74">
        <f>'3. Рух грошових коштів'!F77</f>
        <v>448</v>
      </c>
      <c r="G33" s="74">
        <f>'3. Рух грошових коштів'!G77</f>
        <v>448</v>
      </c>
      <c r="H33" s="74">
        <f>'3. Рух грошових коштів'!H77</f>
        <v>461</v>
      </c>
      <c r="I33" s="74">
        <f>'3. Рух грошових коштів'!I77</f>
        <v>468</v>
      </c>
      <c r="J33" s="74">
        <f>'3. Рух грошових коштів'!J77</f>
        <v>473.3</v>
      </c>
    </row>
    <row r="34" spans="1:10" ht="42.75" customHeight="1">
      <c r="A34" s="168" t="s">
        <v>113</v>
      </c>
      <c r="B34" s="102">
        <f>'3. Рух грошових коштів'!B28</f>
        <v>3090</v>
      </c>
      <c r="C34" s="74">
        <f>'3. Рух грошових коштів'!C28</f>
        <v>26.699999999999953</v>
      </c>
      <c r="D34" s="74">
        <f>'3. Рух грошових коштів'!D28</f>
        <v>35.099999999999284</v>
      </c>
      <c r="E34" s="74">
        <f>'3. Рух грошових коштів'!E28</f>
        <v>32.790000000001527</v>
      </c>
      <c r="F34" s="74">
        <f>'3. Рух грошових коштів'!F28</f>
        <v>29.700000000001456</v>
      </c>
      <c r="G34" s="74">
        <f>'3. Рух грошових коштів'!G28</f>
        <v>13.000000000000181</v>
      </c>
      <c r="H34" s="74">
        <f>'3. Рух грошових коштів'!H28</f>
        <v>6.9999999999998179</v>
      </c>
      <c r="I34" s="74">
        <f>'3. Рух грошових коштів'!I28</f>
        <v>5.3</v>
      </c>
      <c r="J34" s="74">
        <f>'3. Рух грошових коштів'!J28</f>
        <v>4.4000000000005457</v>
      </c>
    </row>
    <row r="35" spans="1:10" ht="40.5" customHeight="1">
      <c r="A35" s="168" t="s">
        <v>171</v>
      </c>
      <c r="B35" s="102">
        <f>'3. Рух грошових коштів'!B49</f>
        <v>3320</v>
      </c>
      <c r="C35" s="355">
        <f>'3. Рух грошових коштів'!C49</f>
        <v>0</v>
      </c>
      <c r="D35" s="10">
        <f>'3. Рух грошових коштів'!D49</f>
        <v>0</v>
      </c>
      <c r="E35" s="10">
        <f>'3. Рух грошових коштів'!E49</f>
        <v>0</v>
      </c>
      <c r="F35" s="288">
        <f>'3. Рух грошових коштів'!F49</f>
        <v>0</v>
      </c>
      <c r="G35" s="288">
        <f>'3. Рух грошових коштів'!G49</f>
        <v>0</v>
      </c>
      <c r="H35" s="288">
        <f>'3. Рух грошових коштів'!H49</f>
        <v>0</v>
      </c>
      <c r="I35" s="288">
        <f>'3. Рух грошових коштів'!I49</f>
        <v>0</v>
      </c>
      <c r="J35" s="288">
        <f>'3. Рух грошових коштів'!J49</f>
        <v>0</v>
      </c>
    </row>
    <row r="36" spans="1:10" ht="38.25" customHeight="1">
      <c r="A36" s="168" t="s">
        <v>114</v>
      </c>
      <c r="B36" s="102">
        <f>'3. Рух грошових коштів'!B75</f>
        <v>3580</v>
      </c>
      <c r="C36" s="355">
        <f>'3. Рух грошових коштів'!C75</f>
        <v>0</v>
      </c>
      <c r="D36" s="10">
        <f>'3. Рух грошових коштів'!D75</f>
        <v>0</v>
      </c>
      <c r="E36" s="10">
        <f>'3. Рух грошових коштів'!E75</f>
        <v>0</v>
      </c>
      <c r="F36" s="288">
        <f>'3. Рух грошових коштів'!F75</f>
        <v>5.7</v>
      </c>
      <c r="G36" s="288">
        <f>'3. Рух грошових коштів'!G75</f>
        <v>0</v>
      </c>
      <c r="H36" s="288">
        <f>'3. Рух грошових коштів'!H75</f>
        <v>5.7</v>
      </c>
      <c r="I36" s="288">
        <f>'3. Рух грошових коштів'!I75</f>
        <v>0</v>
      </c>
      <c r="J36" s="288">
        <f>'3. Рух грошових коштів'!J75</f>
        <v>0</v>
      </c>
    </row>
    <row r="37" spans="1:10" ht="39.75" customHeight="1">
      <c r="A37" s="168" t="s">
        <v>130</v>
      </c>
      <c r="B37" s="102">
        <f>'3. Рух грошових коштів'!B78</f>
        <v>3610</v>
      </c>
      <c r="C37" s="355">
        <f>'3. Рух грошових коштів'!C78</f>
        <v>0</v>
      </c>
      <c r="D37" s="10">
        <f>'3. Рух грошових коштів'!D78</f>
        <v>0</v>
      </c>
      <c r="E37" s="10">
        <f>'3. Рух грошових коштів'!E78</f>
        <v>0</v>
      </c>
      <c r="F37" s="288">
        <f>'3. Рух грошових коштів'!F78</f>
        <v>0</v>
      </c>
      <c r="G37" s="288">
        <f>'3. Рух грошових коштів'!G78</f>
        <v>0</v>
      </c>
      <c r="H37" s="288">
        <f>'3. Рух грошових коштів'!H78</f>
        <v>0</v>
      </c>
      <c r="I37" s="288">
        <f>'3. Рух грошових коштів'!I78</f>
        <v>0</v>
      </c>
      <c r="J37" s="288">
        <f>'3. Рух грошових коштів'!J78</f>
        <v>0</v>
      </c>
    </row>
    <row r="38" spans="1:10" ht="20.100000000000001" customHeight="1">
      <c r="A38" s="168" t="s">
        <v>115</v>
      </c>
      <c r="B38" s="111">
        <f>'3. Рух грошових коштів'!B79</f>
        <v>3620</v>
      </c>
      <c r="C38" s="74">
        <f>'3. Рух грошових коштів'!C79</f>
        <v>137</v>
      </c>
      <c r="D38" s="74">
        <f>'3. Рух грошових коштів'!D79</f>
        <v>448</v>
      </c>
      <c r="E38" s="74">
        <f>'3. Рух грошових коштів'!E79</f>
        <v>92.790000000001527</v>
      </c>
      <c r="F38" s="74">
        <f>'3. Рух грошових коштів'!F79</f>
        <v>477.7</v>
      </c>
      <c r="G38" s="74">
        <f>'3. Рух грошових коштів'!G79</f>
        <v>461</v>
      </c>
      <c r="H38" s="74">
        <f>'3. Рух грошових коштів'!H79</f>
        <v>468</v>
      </c>
      <c r="I38" s="74">
        <f>'3. Рух грошових коштів'!I79</f>
        <v>473.3</v>
      </c>
      <c r="J38" s="74">
        <f>'3. Рух грошових коштів'!J79</f>
        <v>477.7</v>
      </c>
    </row>
    <row r="39" spans="1:10" ht="24.95" customHeight="1">
      <c r="A39" s="385" t="s">
        <v>161</v>
      </c>
      <c r="B39" s="386"/>
      <c r="C39" s="386"/>
      <c r="D39" s="386"/>
      <c r="E39" s="386"/>
      <c r="F39" s="386"/>
      <c r="G39" s="386"/>
      <c r="H39" s="386"/>
      <c r="I39" s="386"/>
      <c r="J39" s="386"/>
    </row>
    <row r="40" spans="1:10" ht="20.100000000000001" customHeight="1">
      <c r="A40" s="168" t="s">
        <v>160</v>
      </c>
      <c r="B40" s="102">
        <f>'4. Кап. інвестиції'!B8</f>
        <v>4000</v>
      </c>
      <c r="C40" s="74">
        <f>'4. Кап. інвестиції'!C8</f>
        <v>495</v>
      </c>
      <c r="D40" s="74">
        <f>'4. Кап. інвестиції'!D8</f>
        <v>0</v>
      </c>
      <c r="E40" s="74">
        <f>'4. Кап. інвестиції'!E8</f>
        <v>4705</v>
      </c>
      <c r="F40" s="74">
        <f>'4. Кап. інвестиції'!F8</f>
        <v>8733.9</v>
      </c>
      <c r="G40" s="74">
        <f>'4. Кап. інвестиції'!G8</f>
        <v>0</v>
      </c>
      <c r="H40" s="74">
        <f>'4. Кап. інвестиції'!H8</f>
        <v>4218.8999999999996</v>
      </c>
      <c r="I40" s="74">
        <f>'4. Кап. інвестиції'!I8</f>
        <v>0</v>
      </c>
      <c r="J40" s="74">
        <f>'4. Кап. інвестиції'!J8</f>
        <v>4515</v>
      </c>
    </row>
    <row r="41" spans="1:10" ht="48" customHeight="1">
      <c r="A41" s="222" t="s">
        <v>363</v>
      </c>
      <c r="B41" s="329"/>
      <c r="C41" s="329"/>
      <c r="D41" s="381" t="s">
        <v>397</v>
      </c>
      <c r="E41" s="381"/>
      <c r="F41" s="381"/>
      <c r="G41" s="381"/>
      <c r="H41" s="381"/>
      <c r="I41" s="293"/>
      <c r="J41" s="293"/>
    </row>
    <row r="42" spans="1:10" s="318" customFormat="1" ht="21" customHeight="1">
      <c r="A42" s="324" t="s">
        <v>61</v>
      </c>
      <c r="B42" s="315"/>
      <c r="C42" s="315"/>
      <c r="E42" s="326" t="s">
        <v>62</v>
      </c>
      <c r="F42" s="315"/>
      <c r="G42" s="315"/>
      <c r="H42" s="315"/>
      <c r="I42" s="315"/>
      <c r="J42" s="315"/>
    </row>
    <row r="44" spans="1:10">
      <c r="A44" s="35"/>
    </row>
    <row r="45" spans="1:10">
      <c r="A45" s="35"/>
    </row>
    <row r="46" spans="1:10">
      <c r="A46" s="35"/>
    </row>
    <row r="47" spans="1:10" s="20" customFormat="1">
      <c r="A47" s="35"/>
    </row>
    <row r="48" spans="1:10" s="20" customFormat="1">
      <c r="A48" s="35"/>
    </row>
    <row r="49" spans="1:1" s="20" customFormat="1">
      <c r="A49" s="35"/>
    </row>
    <row r="50" spans="1:1" s="20" customFormat="1">
      <c r="A50" s="35"/>
    </row>
    <row r="51" spans="1:1" s="20" customFormat="1">
      <c r="A51" s="35"/>
    </row>
    <row r="52" spans="1:1" s="20" customFormat="1">
      <c r="A52" s="35"/>
    </row>
    <row r="53" spans="1:1" s="20" customFormat="1">
      <c r="A53" s="35"/>
    </row>
    <row r="54" spans="1:1" s="20" customFormat="1">
      <c r="A54" s="35"/>
    </row>
    <row r="55" spans="1:1" s="20" customFormat="1">
      <c r="A55" s="35"/>
    </row>
    <row r="56" spans="1:1" s="20" customFormat="1">
      <c r="A56" s="35"/>
    </row>
    <row r="57" spans="1:1" s="20" customFormat="1">
      <c r="A57" s="35"/>
    </row>
    <row r="58" spans="1:1" s="20" customFormat="1">
      <c r="A58" s="35"/>
    </row>
    <row r="59" spans="1:1" s="20" customFormat="1">
      <c r="A59" s="35"/>
    </row>
    <row r="60" spans="1:1" s="20" customFormat="1">
      <c r="A60" s="35"/>
    </row>
    <row r="61" spans="1:1" s="20" customFormat="1">
      <c r="A61" s="35"/>
    </row>
    <row r="62" spans="1:1" s="20" customFormat="1">
      <c r="A62" s="35"/>
    </row>
    <row r="63" spans="1:1" s="20" customFormat="1">
      <c r="A63" s="35"/>
    </row>
    <row r="64" spans="1:1" s="20" customFormat="1">
      <c r="A64" s="35"/>
    </row>
    <row r="65" spans="1:1" s="20" customFormat="1">
      <c r="A65" s="35"/>
    </row>
    <row r="66" spans="1:1" s="20" customFormat="1">
      <c r="A66" s="35"/>
    </row>
    <row r="67" spans="1:1" s="20" customFormat="1">
      <c r="A67" s="35"/>
    </row>
    <row r="68" spans="1:1" s="20" customFormat="1">
      <c r="A68" s="35"/>
    </row>
    <row r="69" spans="1:1" s="20" customFormat="1">
      <c r="A69" s="35"/>
    </row>
    <row r="70" spans="1:1" s="20" customFormat="1">
      <c r="A70" s="35"/>
    </row>
    <row r="71" spans="1:1" s="20" customFormat="1">
      <c r="A71" s="35"/>
    </row>
    <row r="72" spans="1:1" s="20" customFormat="1">
      <c r="A72" s="35"/>
    </row>
    <row r="73" spans="1:1" s="20" customFormat="1">
      <c r="A73" s="35"/>
    </row>
    <row r="74" spans="1:1" s="20" customFormat="1">
      <c r="A74" s="35"/>
    </row>
    <row r="75" spans="1:1" s="20" customFormat="1">
      <c r="A75" s="35"/>
    </row>
    <row r="76" spans="1:1" s="20" customFormat="1">
      <c r="A76" s="35"/>
    </row>
    <row r="77" spans="1:1" s="20" customFormat="1">
      <c r="A77" s="35"/>
    </row>
    <row r="78" spans="1:1" s="20" customFormat="1">
      <c r="A78" s="35"/>
    </row>
    <row r="79" spans="1:1" s="20" customFormat="1">
      <c r="A79" s="35"/>
    </row>
    <row r="80" spans="1:1" s="20" customFormat="1">
      <c r="A80" s="35"/>
    </row>
    <row r="81" spans="1:1" s="20" customFormat="1">
      <c r="A81" s="35"/>
    </row>
    <row r="82" spans="1:1" s="20" customFormat="1">
      <c r="A82" s="35"/>
    </row>
    <row r="83" spans="1:1" s="20" customFormat="1">
      <c r="A83" s="35"/>
    </row>
    <row r="84" spans="1:1" s="20" customFormat="1">
      <c r="A84" s="35"/>
    </row>
    <row r="85" spans="1:1" s="20" customFormat="1">
      <c r="A85" s="35"/>
    </row>
    <row r="86" spans="1:1" s="20" customFormat="1">
      <c r="A86" s="35"/>
    </row>
    <row r="87" spans="1:1" s="20" customFormat="1">
      <c r="A87" s="35"/>
    </row>
    <row r="88" spans="1:1" s="20" customFormat="1">
      <c r="A88" s="35"/>
    </row>
    <row r="89" spans="1:1" s="20" customFormat="1">
      <c r="A89" s="35"/>
    </row>
    <row r="90" spans="1:1" s="20" customFormat="1">
      <c r="A90" s="35"/>
    </row>
    <row r="91" spans="1:1" s="20" customFormat="1">
      <c r="A91" s="35"/>
    </row>
    <row r="92" spans="1:1" s="20" customFormat="1">
      <c r="A92" s="35"/>
    </row>
    <row r="93" spans="1:1" s="20" customFormat="1">
      <c r="A93" s="35"/>
    </row>
    <row r="94" spans="1:1" s="20" customFormat="1">
      <c r="A94" s="35"/>
    </row>
    <row r="95" spans="1:1" s="20" customFormat="1">
      <c r="A95" s="35"/>
    </row>
    <row r="96" spans="1:1" s="20" customFormat="1">
      <c r="A96" s="35"/>
    </row>
    <row r="97" spans="1:1" s="20" customFormat="1">
      <c r="A97" s="35"/>
    </row>
    <row r="98" spans="1:1" s="20" customFormat="1">
      <c r="A98" s="35"/>
    </row>
    <row r="99" spans="1:1" s="20" customFormat="1">
      <c r="A99" s="35"/>
    </row>
    <row r="100" spans="1:1" s="20" customFormat="1">
      <c r="A100" s="35"/>
    </row>
    <row r="101" spans="1:1" s="20" customFormat="1">
      <c r="A101" s="35"/>
    </row>
    <row r="102" spans="1:1" s="20" customFormat="1">
      <c r="A102" s="35"/>
    </row>
    <row r="103" spans="1:1" s="20" customFormat="1">
      <c r="A103" s="35"/>
    </row>
    <row r="104" spans="1:1" s="20" customFormat="1">
      <c r="A104" s="35"/>
    </row>
    <row r="105" spans="1:1" s="20" customFormat="1">
      <c r="A105" s="35"/>
    </row>
    <row r="106" spans="1:1" s="20" customFormat="1">
      <c r="A106" s="35"/>
    </row>
    <row r="107" spans="1:1" s="20" customFormat="1">
      <c r="A107" s="35"/>
    </row>
    <row r="108" spans="1:1" s="20" customFormat="1">
      <c r="A108" s="35"/>
    </row>
    <row r="109" spans="1:1" s="20" customFormat="1">
      <c r="A109" s="35"/>
    </row>
    <row r="110" spans="1:1" s="20" customFormat="1">
      <c r="A110" s="35"/>
    </row>
    <row r="111" spans="1:1" s="20" customFormat="1">
      <c r="A111" s="35"/>
    </row>
    <row r="112" spans="1:1" s="20" customFormat="1">
      <c r="A112" s="35"/>
    </row>
    <row r="113" spans="1:1" s="20" customFormat="1">
      <c r="A113" s="35"/>
    </row>
    <row r="114" spans="1:1" s="20" customFormat="1">
      <c r="A114" s="35"/>
    </row>
    <row r="115" spans="1:1" s="20" customFormat="1">
      <c r="A115" s="35"/>
    </row>
    <row r="116" spans="1:1" s="20" customFormat="1">
      <c r="A116" s="35"/>
    </row>
    <row r="117" spans="1:1" s="20" customFormat="1">
      <c r="A117" s="35"/>
    </row>
    <row r="118" spans="1:1" s="20" customFormat="1">
      <c r="A118" s="35"/>
    </row>
    <row r="119" spans="1:1" s="20" customFormat="1">
      <c r="A119" s="35"/>
    </row>
    <row r="120" spans="1:1" s="20" customFormat="1">
      <c r="A120" s="35"/>
    </row>
    <row r="121" spans="1:1" s="20" customFormat="1">
      <c r="A121" s="35"/>
    </row>
    <row r="122" spans="1:1" s="20" customFormat="1">
      <c r="A122" s="35"/>
    </row>
    <row r="123" spans="1:1" s="20" customFormat="1">
      <c r="A123" s="35"/>
    </row>
    <row r="124" spans="1:1" s="20" customFormat="1">
      <c r="A124" s="35"/>
    </row>
    <row r="125" spans="1:1" s="20" customFormat="1">
      <c r="A125" s="35"/>
    </row>
    <row r="126" spans="1:1" s="20" customFormat="1">
      <c r="A126" s="35"/>
    </row>
    <row r="127" spans="1:1" s="20" customFormat="1">
      <c r="A127" s="35"/>
    </row>
    <row r="128" spans="1:1" s="20" customFormat="1">
      <c r="A128" s="35"/>
    </row>
    <row r="129" spans="1:1" s="20" customFormat="1">
      <c r="A129" s="35"/>
    </row>
    <row r="130" spans="1:1" s="20" customFormat="1">
      <c r="A130" s="35"/>
    </row>
    <row r="131" spans="1:1" s="20" customFormat="1">
      <c r="A131" s="35"/>
    </row>
    <row r="132" spans="1:1" s="20" customFormat="1">
      <c r="A132" s="35"/>
    </row>
    <row r="133" spans="1:1" s="20" customFormat="1">
      <c r="A133" s="35"/>
    </row>
    <row r="134" spans="1:1" s="20" customFormat="1">
      <c r="A134" s="35"/>
    </row>
    <row r="135" spans="1:1" s="20" customFormat="1">
      <c r="A135" s="35"/>
    </row>
    <row r="136" spans="1:1" s="20" customFormat="1">
      <c r="A136" s="35"/>
    </row>
    <row r="137" spans="1:1" s="20" customFormat="1">
      <c r="A137" s="35"/>
    </row>
    <row r="138" spans="1:1" s="20" customFormat="1">
      <c r="A138" s="35"/>
    </row>
    <row r="139" spans="1:1" s="20" customFormat="1">
      <c r="A139" s="35"/>
    </row>
    <row r="140" spans="1:1" s="20" customFormat="1">
      <c r="A140" s="35"/>
    </row>
    <row r="141" spans="1:1" s="20" customFormat="1">
      <c r="A141" s="35"/>
    </row>
    <row r="142" spans="1:1" s="20" customFormat="1">
      <c r="A142" s="35"/>
    </row>
    <row r="143" spans="1:1" s="20" customFormat="1">
      <c r="A143" s="35"/>
    </row>
    <row r="144" spans="1:1" s="20" customFormat="1">
      <c r="A144" s="35"/>
    </row>
    <row r="145" spans="1:1" s="20" customFormat="1">
      <c r="A145" s="35"/>
    </row>
    <row r="146" spans="1:1" s="20" customFormat="1">
      <c r="A146" s="35"/>
    </row>
    <row r="147" spans="1:1" s="20" customFormat="1">
      <c r="A147" s="35"/>
    </row>
    <row r="148" spans="1:1" s="20" customFormat="1">
      <c r="A148" s="35"/>
    </row>
    <row r="149" spans="1:1" s="20" customFormat="1">
      <c r="A149" s="35"/>
    </row>
    <row r="150" spans="1:1" s="20" customFormat="1">
      <c r="A150" s="35"/>
    </row>
    <row r="151" spans="1:1" s="20" customFormat="1">
      <c r="A151" s="35"/>
    </row>
    <row r="152" spans="1:1" s="20" customFormat="1">
      <c r="A152" s="35"/>
    </row>
    <row r="153" spans="1:1" s="20" customFormat="1">
      <c r="A153" s="35"/>
    </row>
    <row r="154" spans="1:1" s="20" customFormat="1">
      <c r="A154" s="35"/>
    </row>
    <row r="155" spans="1:1" s="20" customFormat="1">
      <c r="A155" s="35"/>
    </row>
    <row r="156" spans="1:1" s="20" customFormat="1">
      <c r="A156" s="35"/>
    </row>
    <row r="157" spans="1:1" s="20" customFormat="1">
      <c r="A157" s="35"/>
    </row>
    <row r="158" spans="1:1" s="20" customFormat="1">
      <c r="A158" s="35"/>
    </row>
    <row r="159" spans="1:1" s="20" customFormat="1">
      <c r="A159" s="35"/>
    </row>
    <row r="160" spans="1:1" s="20" customFormat="1">
      <c r="A160" s="35"/>
    </row>
    <row r="161" spans="1:1" s="20" customFormat="1">
      <c r="A161" s="35"/>
    </row>
    <row r="162" spans="1:1" s="20" customFormat="1">
      <c r="A162" s="35"/>
    </row>
    <row r="163" spans="1:1" s="20" customFormat="1">
      <c r="A163" s="35"/>
    </row>
    <row r="164" spans="1:1" s="20" customFormat="1">
      <c r="A164" s="35"/>
    </row>
    <row r="165" spans="1:1" s="20" customFormat="1">
      <c r="A165" s="35"/>
    </row>
    <row r="166" spans="1:1" s="20" customFormat="1">
      <c r="A166" s="35"/>
    </row>
    <row r="167" spans="1:1" s="20" customFormat="1">
      <c r="A167" s="35"/>
    </row>
    <row r="168" spans="1:1" s="20" customFormat="1">
      <c r="A168" s="35"/>
    </row>
    <row r="169" spans="1:1" s="20" customFormat="1">
      <c r="A169" s="35"/>
    </row>
    <row r="170" spans="1:1" s="20" customFormat="1">
      <c r="A170" s="35"/>
    </row>
    <row r="171" spans="1:1" s="20" customFormat="1">
      <c r="A171" s="35"/>
    </row>
    <row r="172" spans="1:1" s="20" customFormat="1">
      <c r="A172" s="35"/>
    </row>
    <row r="173" spans="1:1" s="20" customFormat="1">
      <c r="A173" s="35"/>
    </row>
    <row r="174" spans="1:1" s="20" customFormat="1">
      <c r="A174" s="35"/>
    </row>
    <row r="175" spans="1:1" s="20" customFormat="1">
      <c r="A175" s="35"/>
    </row>
    <row r="176" spans="1:1" s="20" customFormat="1">
      <c r="A176" s="35"/>
    </row>
    <row r="177" spans="1:1" s="20" customFormat="1">
      <c r="A177" s="35"/>
    </row>
    <row r="178" spans="1:1" s="20" customFormat="1">
      <c r="A178" s="35"/>
    </row>
    <row r="179" spans="1:1" s="20" customFormat="1">
      <c r="A179" s="35"/>
    </row>
    <row r="180" spans="1:1" s="20" customFormat="1">
      <c r="A180" s="35"/>
    </row>
    <row r="181" spans="1:1" s="20" customFormat="1">
      <c r="A181" s="35"/>
    </row>
    <row r="182" spans="1:1" s="20" customFormat="1">
      <c r="A182" s="35"/>
    </row>
    <row r="183" spans="1:1" s="20" customFormat="1">
      <c r="A183" s="35"/>
    </row>
    <row r="184" spans="1:1" s="20" customFormat="1">
      <c r="A184" s="35"/>
    </row>
    <row r="185" spans="1:1" s="20" customFormat="1">
      <c r="A185" s="35"/>
    </row>
    <row r="186" spans="1:1" s="20" customFormat="1">
      <c r="A186" s="35"/>
    </row>
    <row r="187" spans="1:1" s="20" customFormat="1">
      <c r="A187" s="35"/>
    </row>
    <row r="188" spans="1:1" s="20" customFormat="1">
      <c r="A188" s="35"/>
    </row>
    <row r="189" spans="1:1" s="20" customFormat="1">
      <c r="A189" s="35"/>
    </row>
    <row r="190" spans="1:1" s="20" customFormat="1">
      <c r="A190" s="35"/>
    </row>
    <row r="191" spans="1:1" s="20" customFormat="1">
      <c r="A191" s="35"/>
    </row>
    <row r="192" spans="1:1" s="20" customFormat="1">
      <c r="A192" s="35"/>
    </row>
    <row r="193" spans="1:1" s="20" customFormat="1">
      <c r="A193" s="35"/>
    </row>
    <row r="194" spans="1:1" s="20" customFormat="1">
      <c r="A194" s="35"/>
    </row>
    <row r="195" spans="1:1" s="20" customFormat="1">
      <c r="A195" s="35"/>
    </row>
    <row r="196" spans="1:1" s="20" customFormat="1">
      <c r="A196" s="35"/>
    </row>
    <row r="197" spans="1:1" s="20" customFormat="1">
      <c r="A197" s="35"/>
    </row>
    <row r="198" spans="1:1" s="20" customFormat="1">
      <c r="A198" s="35"/>
    </row>
    <row r="199" spans="1:1" s="20" customFormat="1">
      <c r="A199" s="35"/>
    </row>
    <row r="200" spans="1:1" s="20" customFormat="1">
      <c r="A200" s="35"/>
    </row>
    <row r="201" spans="1:1" s="20" customFormat="1">
      <c r="A201" s="35"/>
    </row>
    <row r="202" spans="1:1" s="20" customFormat="1">
      <c r="A202" s="35"/>
    </row>
    <row r="203" spans="1:1" s="20" customFormat="1">
      <c r="A203" s="35"/>
    </row>
    <row r="204" spans="1:1" s="20" customFormat="1">
      <c r="A204" s="35"/>
    </row>
    <row r="205" spans="1:1" s="20" customFormat="1">
      <c r="A205" s="35"/>
    </row>
    <row r="206" spans="1:1" s="20" customFormat="1">
      <c r="A206" s="35"/>
    </row>
    <row r="207" spans="1:1" s="20" customFormat="1">
      <c r="A207" s="35"/>
    </row>
    <row r="208" spans="1:1" s="20" customFormat="1">
      <c r="A208" s="35"/>
    </row>
    <row r="209" spans="1:1" s="20" customFormat="1">
      <c r="A209" s="35"/>
    </row>
    <row r="210" spans="1:1" s="20" customFormat="1">
      <c r="A210" s="35"/>
    </row>
    <row r="211" spans="1:1" s="20" customFormat="1">
      <c r="A211" s="35"/>
    </row>
  </sheetData>
  <mergeCells count="16">
    <mergeCell ref="A4:J4"/>
    <mergeCell ref="F5:F6"/>
    <mergeCell ref="G5:J5"/>
    <mergeCell ref="D41:H41"/>
    <mergeCell ref="A1:J1"/>
    <mergeCell ref="A3:J3"/>
    <mergeCell ref="A2:J2"/>
    <mergeCell ref="A5:A6"/>
    <mergeCell ref="B5:B6"/>
    <mergeCell ref="A39:J39"/>
    <mergeCell ref="A8:J8"/>
    <mergeCell ref="D5:D6"/>
    <mergeCell ref="A32:J32"/>
    <mergeCell ref="A24:J24"/>
    <mergeCell ref="E5:E6"/>
    <mergeCell ref="C5:C6"/>
  </mergeCells>
  <phoneticPr fontId="3" type="noConversion"/>
  <printOptions horizontalCentered="1"/>
  <pageMargins left="0.31496062992125984" right="0.11811023622047245" top="0.55118110236220474" bottom="0.15748031496062992" header="0.31496062992125984" footer="0.31496062992125984"/>
  <pageSetup paperSize="9" scale="56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</sheetPr>
  <dimension ref="A1:J337"/>
  <sheetViews>
    <sheetView view="pageBreakPreview" topLeftCell="A50" zoomScale="62" zoomScaleNormal="75" zoomScaleSheetLayoutView="62" workbookViewId="0">
      <selection activeCell="F5" sqref="F5"/>
    </sheetView>
  </sheetViews>
  <sheetFormatPr defaultRowHeight="18.75" outlineLevelRow="1"/>
  <cols>
    <col min="1" max="1" width="53.140625" style="3" customWidth="1"/>
    <col min="2" max="2" width="9.140625" style="20" customWidth="1"/>
    <col min="3" max="3" width="11.7109375" style="20" customWidth="1"/>
    <col min="4" max="4" width="14.5703125" style="20" customWidth="1"/>
    <col min="5" max="5" width="17.28515625" style="20" customWidth="1"/>
    <col min="6" max="6" width="13.85546875" style="3" customWidth="1"/>
    <col min="7" max="7" width="13.7109375" style="273" customWidth="1"/>
    <col min="8" max="8" width="12.140625" style="273" customWidth="1"/>
    <col min="9" max="9" width="12.5703125" style="273" customWidth="1"/>
    <col min="10" max="10" width="14.140625" style="273" customWidth="1"/>
    <col min="11" max="16384" width="9.140625" style="3"/>
  </cols>
  <sheetData>
    <row r="1" spans="1:10" ht="29.25" customHeight="1">
      <c r="A1" s="391" t="s">
        <v>185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8.75" customHeight="1">
      <c r="A2" s="126"/>
      <c r="B2" s="65"/>
      <c r="C2" s="65"/>
      <c r="D2" s="126"/>
      <c r="E2" s="126"/>
      <c r="F2" s="126"/>
      <c r="G2" s="126"/>
      <c r="H2" s="126"/>
      <c r="I2" s="126"/>
      <c r="J2" s="126"/>
    </row>
    <row r="3" spans="1:10" ht="24.75" customHeight="1">
      <c r="A3" s="390" t="s">
        <v>182</v>
      </c>
      <c r="B3" s="397" t="s">
        <v>5</v>
      </c>
      <c r="C3" s="396" t="s">
        <v>410</v>
      </c>
      <c r="D3" s="396" t="s">
        <v>411</v>
      </c>
      <c r="E3" s="384" t="s">
        <v>394</v>
      </c>
      <c r="F3" s="394" t="s">
        <v>396</v>
      </c>
      <c r="G3" s="395" t="s">
        <v>264</v>
      </c>
      <c r="H3" s="395"/>
      <c r="I3" s="395"/>
      <c r="J3" s="395"/>
    </row>
    <row r="4" spans="1:10" ht="105" customHeight="1">
      <c r="A4" s="390"/>
      <c r="B4" s="397"/>
      <c r="C4" s="396"/>
      <c r="D4" s="396"/>
      <c r="E4" s="384"/>
      <c r="F4" s="394"/>
      <c r="G4" s="311" t="s">
        <v>144</v>
      </c>
      <c r="H4" s="311" t="s">
        <v>145</v>
      </c>
      <c r="I4" s="311" t="s">
        <v>146</v>
      </c>
      <c r="J4" s="311" t="s">
        <v>55</v>
      </c>
    </row>
    <row r="5" spans="1:10" ht="18" customHeight="1">
      <c r="A5" s="102">
        <v>1</v>
      </c>
      <c r="B5" s="59">
        <v>2</v>
      </c>
      <c r="C5" s="102">
        <v>3</v>
      </c>
      <c r="D5" s="301">
        <v>4</v>
      </c>
      <c r="E5" s="102">
        <v>5</v>
      </c>
      <c r="F5" s="301">
        <v>6</v>
      </c>
      <c r="G5" s="102">
        <v>7</v>
      </c>
      <c r="H5" s="301">
        <v>8</v>
      </c>
      <c r="I5" s="102">
        <v>9</v>
      </c>
      <c r="J5" s="301">
        <v>10</v>
      </c>
    </row>
    <row r="6" spans="1:10" s="5" customFormat="1" ht="20.100000000000001" customHeight="1">
      <c r="A6" s="392" t="s">
        <v>222</v>
      </c>
      <c r="B6" s="393"/>
      <c r="C6" s="393"/>
      <c r="D6" s="393"/>
      <c r="E6" s="393"/>
      <c r="F6" s="393"/>
      <c r="G6" s="393"/>
      <c r="H6" s="393"/>
      <c r="I6" s="393"/>
      <c r="J6" s="393"/>
    </row>
    <row r="7" spans="1:10" s="5" customFormat="1" ht="39.75" customHeight="1">
      <c r="A7" s="186" t="s">
        <v>356</v>
      </c>
      <c r="B7" s="55">
        <v>1000</v>
      </c>
      <c r="C7" s="169">
        <f>C8+C9+C10</f>
        <v>12310.8</v>
      </c>
      <c r="D7" s="169">
        <f>D8+D9+D10</f>
        <v>15806.599999999999</v>
      </c>
      <c r="E7" s="169">
        <f>E8+E10</f>
        <v>15556.4</v>
      </c>
      <c r="F7" s="250">
        <f>G7+H7+I7+J7</f>
        <v>19544.599999999999</v>
      </c>
      <c r="G7" s="169">
        <f>G8+G10</f>
        <v>4115</v>
      </c>
      <c r="H7" s="169">
        <f>H8+H10</f>
        <v>4807.7</v>
      </c>
      <c r="I7" s="169">
        <f>I8+I10</f>
        <v>5101.3999999999996</v>
      </c>
      <c r="J7" s="169">
        <f>J8+J10</f>
        <v>5520.5</v>
      </c>
    </row>
    <row r="8" spans="1:10" s="190" customFormat="1" ht="20.100000000000001" customHeight="1">
      <c r="A8" s="194" t="s">
        <v>225</v>
      </c>
      <c r="B8" s="189">
        <v>1010</v>
      </c>
      <c r="C8" s="301">
        <v>9586.2999999999993</v>
      </c>
      <c r="D8" s="87">
        <v>12045.4</v>
      </c>
      <c r="E8" s="87">
        <v>11000</v>
      </c>
      <c r="F8" s="251">
        <f>G8+H8+I8+J8</f>
        <v>14346.3</v>
      </c>
      <c r="G8" s="251">
        <v>3508.3</v>
      </c>
      <c r="H8" s="251">
        <v>3576.2</v>
      </c>
      <c r="I8" s="251">
        <v>3539</v>
      </c>
      <c r="J8" s="251">
        <v>3722.7999999999997</v>
      </c>
    </row>
    <row r="9" spans="1:10" s="190" customFormat="1" ht="20.100000000000001" customHeight="1">
      <c r="A9" s="194" t="s">
        <v>226</v>
      </c>
      <c r="B9" s="189">
        <v>1011</v>
      </c>
      <c r="C9" s="301"/>
      <c r="D9" s="188"/>
      <c r="E9" s="87"/>
      <c r="F9" s="252"/>
      <c r="G9" s="252"/>
      <c r="H9" s="252"/>
      <c r="I9" s="252"/>
      <c r="J9" s="252"/>
    </row>
    <row r="10" spans="1:10" s="190" customFormat="1" ht="20.100000000000001" customHeight="1">
      <c r="A10" s="194" t="s">
        <v>227</v>
      </c>
      <c r="B10" s="189">
        <v>1012</v>
      </c>
      <c r="C10" s="301">
        <v>2724.5</v>
      </c>
      <c r="D10" s="87">
        <v>3761.2</v>
      </c>
      <c r="E10" s="87">
        <v>4556.3999999999996</v>
      </c>
      <c r="F10" s="251">
        <f>G10+H10+I10+J10</f>
        <v>5198.3</v>
      </c>
      <c r="G10" s="251">
        <v>606.70000000000005</v>
      </c>
      <c r="H10" s="251">
        <v>1231.5</v>
      </c>
      <c r="I10" s="251">
        <v>1562.4</v>
      </c>
      <c r="J10" s="251">
        <v>1797.7</v>
      </c>
    </row>
    <row r="11" spans="1:10" s="190" customFormat="1" ht="20.100000000000001" customHeight="1">
      <c r="A11" s="194" t="s">
        <v>223</v>
      </c>
      <c r="B11" s="189">
        <v>1020</v>
      </c>
      <c r="C11" s="301">
        <v>296.8</v>
      </c>
      <c r="D11" s="87">
        <v>321.39999999999998</v>
      </c>
      <c r="E11" s="87">
        <v>339.4</v>
      </c>
      <c r="F11" s="251">
        <f>G11+H11+I11+J11</f>
        <v>569.21</v>
      </c>
      <c r="G11" s="251">
        <v>58</v>
      </c>
      <c r="H11" s="251">
        <v>159.30000000000001</v>
      </c>
      <c r="I11" s="251">
        <v>169</v>
      </c>
      <c r="J11" s="251">
        <v>182.91</v>
      </c>
    </row>
    <row r="12" spans="1:10" s="190" customFormat="1" ht="27.75" customHeight="1">
      <c r="A12" s="194" t="s">
        <v>224</v>
      </c>
      <c r="B12" s="189">
        <v>1030</v>
      </c>
      <c r="C12" s="301"/>
      <c r="D12" s="195"/>
      <c r="E12" s="189"/>
      <c r="F12" s="253"/>
      <c r="G12" s="253"/>
      <c r="H12" s="253"/>
      <c r="I12" s="253"/>
      <c r="J12" s="253"/>
    </row>
    <row r="13" spans="1:10" s="5" customFormat="1" ht="41.25" customHeight="1">
      <c r="A13" s="186" t="s">
        <v>87</v>
      </c>
      <c r="B13" s="207">
        <v>1040</v>
      </c>
      <c r="C13" s="74">
        <f>C7-C11-C12</f>
        <v>12014</v>
      </c>
      <c r="D13" s="74">
        <f>D7-D11-D12</f>
        <v>15485.199999999999</v>
      </c>
      <c r="E13" s="74">
        <f>E7-E11-E12</f>
        <v>15217</v>
      </c>
      <c r="F13" s="238">
        <f>G13+H13+I13+J13</f>
        <v>18975.400000000001</v>
      </c>
      <c r="G13" s="74">
        <f>ROUND((G7-G11-G12),1)</f>
        <v>4057</v>
      </c>
      <c r="H13" s="74">
        <f>ROUND((H7-H11-H12),1)</f>
        <v>4648.3999999999996</v>
      </c>
      <c r="I13" s="74">
        <f>ROUND((I7-I11-I12),1)</f>
        <v>4932.3999999999996</v>
      </c>
      <c r="J13" s="74">
        <f>ROUND((J7-J11-J12),1)</f>
        <v>5337.6</v>
      </c>
    </row>
    <row r="14" spans="1:10" ht="41.25" customHeight="1">
      <c r="A14" s="9" t="s">
        <v>101</v>
      </c>
      <c r="B14" s="207">
        <v>1050</v>
      </c>
      <c r="C14" s="137">
        <f>SUM(C15:C22)</f>
        <v>9815</v>
      </c>
      <c r="D14" s="137">
        <f>SUM(D15:D22)</f>
        <v>12796</v>
      </c>
      <c r="E14" s="137">
        <f>SUM(E15:E22)</f>
        <v>12273.545999999998</v>
      </c>
      <c r="F14" s="238">
        <f>G14+H14+I14+J14</f>
        <v>15279.900000000001</v>
      </c>
      <c r="G14" s="238">
        <f>ROUND((G15+G16+G17+G18+G19+G20+G21+G22),1)</f>
        <v>3202</v>
      </c>
      <c r="H14" s="238">
        <f>ROUND((H15+H16+H17+H18+H19+H20+H21+H22),1)</f>
        <v>3858.3</v>
      </c>
      <c r="I14" s="238">
        <f>ROUND((I15+I16+I17+I18+I19+I20+I21+I22),1)</f>
        <v>3918.3</v>
      </c>
      <c r="J14" s="238">
        <f>ROUND((J15+J16+J17+J18+J19+J20+J21+J22),1)</f>
        <v>4301.3</v>
      </c>
    </row>
    <row r="15" spans="1:10" s="2" customFormat="1" ht="22.5" customHeight="1">
      <c r="A15" s="8" t="s">
        <v>197</v>
      </c>
      <c r="B15" s="100">
        <v>1051</v>
      </c>
      <c r="C15" s="100">
        <v>2209.8000000000002</v>
      </c>
      <c r="D15" s="191">
        <v>3294.8</v>
      </c>
      <c r="E15" s="191">
        <v>2179.8000000000002</v>
      </c>
      <c r="F15" s="239">
        <f t="shared" ref="F15:F28" si="0">G15+H15+I15+J15</f>
        <v>2577.5</v>
      </c>
      <c r="G15" s="275">
        <v>631.1</v>
      </c>
      <c r="H15" s="275">
        <v>616.6</v>
      </c>
      <c r="I15" s="275">
        <v>655</v>
      </c>
      <c r="J15" s="275">
        <v>674.8</v>
      </c>
    </row>
    <row r="16" spans="1:10" s="2" customFormat="1" ht="20.100000000000001" customHeight="1">
      <c r="A16" s="8" t="s">
        <v>48</v>
      </c>
      <c r="B16" s="100">
        <v>1052</v>
      </c>
      <c r="C16" s="100">
        <v>1848.7</v>
      </c>
      <c r="D16" s="191">
        <v>2172.6999999999998</v>
      </c>
      <c r="E16" s="191">
        <v>2248</v>
      </c>
      <c r="F16" s="239">
        <f t="shared" si="0"/>
        <v>2479</v>
      </c>
      <c r="G16" s="288">
        <v>500.2</v>
      </c>
      <c r="H16" s="288">
        <v>625.79999999999995</v>
      </c>
      <c r="I16" s="275">
        <v>680</v>
      </c>
      <c r="J16" s="275">
        <v>673</v>
      </c>
    </row>
    <row r="17" spans="1:10" s="2" customFormat="1" ht="20.100000000000001" customHeight="1">
      <c r="A17" s="8" t="s">
        <v>47</v>
      </c>
      <c r="B17" s="100">
        <v>1053</v>
      </c>
      <c r="C17" s="100">
        <v>94.7</v>
      </c>
      <c r="D17" s="191">
        <v>80</v>
      </c>
      <c r="E17" s="191">
        <v>100</v>
      </c>
      <c r="F17" s="239">
        <f t="shared" si="0"/>
        <v>146.1</v>
      </c>
      <c r="G17" s="275">
        <v>50.6</v>
      </c>
      <c r="H17" s="275">
        <v>14.499999999999993</v>
      </c>
      <c r="I17" s="275">
        <v>23.9</v>
      </c>
      <c r="J17" s="275">
        <v>57.1</v>
      </c>
    </row>
    <row r="18" spans="1:10" s="2" customFormat="1" ht="20.100000000000001" customHeight="1">
      <c r="A18" s="8" t="s">
        <v>23</v>
      </c>
      <c r="B18" s="100">
        <v>1054</v>
      </c>
      <c r="C18" s="100">
        <v>4027.9</v>
      </c>
      <c r="D18" s="191">
        <v>5282.6</v>
      </c>
      <c r="E18" s="191">
        <v>5684.2999999999993</v>
      </c>
      <c r="F18" s="239">
        <f t="shared" si="0"/>
        <v>7496.2000000000007</v>
      </c>
      <c r="G18" s="275">
        <v>1576.5</v>
      </c>
      <c r="H18" s="275">
        <v>1723.8000000000002</v>
      </c>
      <c r="I18" s="275">
        <v>1926.5</v>
      </c>
      <c r="J18" s="275">
        <v>2269.4</v>
      </c>
    </row>
    <row r="19" spans="1:10" s="2" customFormat="1" ht="20.100000000000001" customHeight="1">
      <c r="A19" s="8" t="s">
        <v>24</v>
      </c>
      <c r="B19" s="100">
        <v>1055</v>
      </c>
      <c r="C19" s="100">
        <v>858.6</v>
      </c>
      <c r="D19" s="191">
        <v>1149.7</v>
      </c>
      <c r="E19" s="191">
        <v>1250.5459999999998</v>
      </c>
      <c r="F19" s="239">
        <f t="shared" si="0"/>
        <v>1623.1980000000001</v>
      </c>
      <c r="G19" s="275">
        <v>334.7</v>
      </c>
      <c r="H19" s="275">
        <v>365.40000000000003</v>
      </c>
      <c r="I19" s="275">
        <v>423.83</v>
      </c>
      <c r="J19" s="275">
        <v>499.26800000000003</v>
      </c>
    </row>
    <row r="20" spans="1:10" s="2" customFormat="1" ht="77.25" customHeight="1">
      <c r="A20" s="8" t="s">
        <v>178</v>
      </c>
      <c r="B20" s="100">
        <v>1056</v>
      </c>
      <c r="C20" s="100"/>
      <c r="D20" s="182"/>
      <c r="E20" s="84"/>
      <c r="F20" s="239">
        <f t="shared" si="0"/>
        <v>20.100000000000001</v>
      </c>
      <c r="G20" s="275">
        <v>0</v>
      </c>
      <c r="H20" s="312"/>
      <c r="I20" s="275">
        <v>20.100000000000001</v>
      </c>
      <c r="J20" s="275">
        <v>0</v>
      </c>
    </row>
    <row r="21" spans="1:10" s="2" customFormat="1" ht="36.75" customHeight="1">
      <c r="A21" s="8" t="s">
        <v>46</v>
      </c>
      <c r="B21" s="100">
        <v>1057</v>
      </c>
      <c r="C21" s="100">
        <v>246.8</v>
      </c>
      <c r="D21" s="191">
        <f>'[35]1.Фінансовий результат'!$D$22</f>
        <v>285.39999999999998</v>
      </c>
      <c r="E21" s="191">
        <v>189.8</v>
      </c>
      <c r="F21" s="239">
        <f t="shared" si="0"/>
        <v>232.2</v>
      </c>
      <c r="G21" s="275">
        <v>59.6</v>
      </c>
      <c r="H21" s="309">
        <v>35.6</v>
      </c>
      <c r="I21" s="275">
        <v>68.5</v>
      </c>
      <c r="J21" s="275">
        <v>68.5</v>
      </c>
    </row>
    <row r="22" spans="1:10" s="2" customFormat="1" ht="20.100000000000001" customHeight="1">
      <c r="A22" s="8" t="s">
        <v>278</v>
      </c>
      <c r="B22" s="100">
        <v>1058</v>
      </c>
      <c r="C22" s="355">
        <f t="shared" ref="C22:J22" si="1">C23+C24+C25+C26+C27+C28</f>
        <v>528.5</v>
      </c>
      <c r="D22" s="191">
        <f t="shared" si="1"/>
        <v>530.79999999999995</v>
      </c>
      <c r="E22" s="84">
        <f t="shared" si="1"/>
        <v>621.1</v>
      </c>
      <c r="F22" s="239">
        <f>F23+F24+F25+F26+F27+F28</f>
        <v>705.59999999999991</v>
      </c>
      <c r="G22" s="239">
        <f t="shared" si="1"/>
        <v>49.3</v>
      </c>
      <c r="H22" s="239">
        <f t="shared" si="1"/>
        <v>476.6</v>
      </c>
      <c r="I22" s="239">
        <f t="shared" si="1"/>
        <v>120.5</v>
      </c>
      <c r="J22" s="239">
        <f t="shared" si="1"/>
        <v>59.2</v>
      </c>
    </row>
    <row r="23" spans="1:10" s="2" customFormat="1" ht="20.100000000000001" customHeight="1">
      <c r="A23" s="192" t="s">
        <v>279</v>
      </c>
      <c r="B23" s="216" t="s">
        <v>324</v>
      </c>
      <c r="C23" s="216">
        <v>134.5</v>
      </c>
      <c r="D23" s="193">
        <v>116.3</v>
      </c>
      <c r="E23" s="193">
        <v>176.09999999999997</v>
      </c>
      <c r="F23" s="232">
        <f t="shared" si="0"/>
        <v>171.89999999999998</v>
      </c>
      <c r="G23" s="196">
        <v>1</v>
      </c>
      <c r="H23" s="196">
        <v>52.9</v>
      </c>
      <c r="I23" s="196">
        <v>79.3</v>
      </c>
      <c r="J23" s="196">
        <v>38.700000000000003</v>
      </c>
    </row>
    <row r="24" spans="1:10" s="2" customFormat="1" ht="20.100000000000001" customHeight="1">
      <c r="A24" s="192" t="s">
        <v>280</v>
      </c>
      <c r="B24" s="216" t="s">
        <v>325</v>
      </c>
      <c r="C24" s="216">
        <v>4.8</v>
      </c>
      <c r="D24" s="193">
        <v>5.5</v>
      </c>
      <c r="E24" s="193">
        <v>6.5</v>
      </c>
      <c r="F24" s="232">
        <f t="shared" si="0"/>
        <v>7.1999999999999993</v>
      </c>
      <c r="G24" s="196">
        <v>1.9</v>
      </c>
      <c r="H24" s="196">
        <v>1.3000000000000003</v>
      </c>
      <c r="I24" s="196">
        <v>1.4</v>
      </c>
      <c r="J24" s="196">
        <v>2.6</v>
      </c>
    </row>
    <row r="25" spans="1:10" s="2" customFormat="1" ht="20.100000000000001" customHeight="1">
      <c r="A25" s="192" t="s">
        <v>281</v>
      </c>
      <c r="B25" s="216" t="s">
        <v>326</v>
      </c>
      <c r="C25" s="216">
        <v>133.30000000000001</v>
      </c>
      <c r="D25" s="193">
        <v>204.6</v>
      </c>
      <c r="E25" s="193">
        <v>300</v>
      </c>
      <c r="F25" s="232">
        <f t="shared" si="0"/>
        <v>311.5</v>
      </c>
      <c r="G25" s="196">
        <v>0</v>
      </c>
      <c r="H25" s="196">
        <v>311.5</v>
      </c>
      <c r="I25" s="196">
        <v>0</v>
      </c>
      <c r="J25" s="196">
        <v>0</v>
      </c>
    </row>
    <row r="26" spans="1:10" s="2" customFormat="1" ht="20.100000000000001" customHeight="1">
      <c r="A26" s="192" t="s">
        <v>282</v>
      </c>
      <c r="B26" s="216" t="s">
        <v>327</v>
      </c>
      <c r="C26" s="216">
        <v>19</v>
      </c>
      <c r="D26" s="193">
        <v>30</v>
      </c>
      <c r="E26" s="193">
        <v>56.2</v>
      </c>
      <c r="F26" s="193">
        <f t="shared" si="0"/>
        <v>72.199999999999989</v>
      </c>
      <c r="G26" s="196">
        <v>2.4</v>
      </c>
      <c r="H26" s="196">
        <v>33</v>
      </c>
      <c r="I26" s="196">
        <v>34.799999999999997</v>
      </c>
      <c r="J26" s="196">
        <v>2</v>
      </c>
    </row>
    <row r="27" spans="1:10" s="2" customFormat="1" ht="20.100000000000001" customHeight="1">
      <c r="A27" s="192" t="s">
        <v>283</v>
      </c>
      <c r="B27" s="216" t="s">
        <v>328</v>
      </c>
      <c r="C27" s="216">
        <v>20.2</v>
      </c>
      <c r="D27" s="193">
        <v>61.2</v>
      </c>
      <c r="E27" s="193">
        <v>49.1</v>
      </c>
      <c r="F27" s="193">
        <f t="shared" si="0"/>
        <v>36.5</v>
      </c>
      <c r="G27" s="196">
        <v>29</v>
      </c>
      <c r="H27" s="196">
        <v>0.30000000000000071</v>
      </c>
      <c r="I27" s="196">
        <v>0</v>
      </c>
      <c r="J27" s="196">
        <v>7.2</v>
      </c>
    </row>
    <row r="28" spans="1:10" s="2" customFormat="1" ht="20.100000000000001" customHeight="1">
      <c r="A28" s="192" t="s">
        <v>240</v>
      </c>
      <c r="B28" s="216" t="s">
        <v>329</v>
      </c>
      <c r="C28" s="216">
        <v>216.7</v>
      </c>
      <c r="D28" s="193">
        <v>113.2</v>
      </c>
      <c r="E28" s="193">
        <v>33.200000000000003</v>
      </c>
      <c r="F28" s="193">
        <f t="shared" si="0"/>
        <v>106.3</v>
      </c>
      <c r="G28" s="196">
        <v>15</v>
      </c>
      <c r="H28" s="196">
        <v>77.599999999999994</v>
      </c>
      <c r="I28" s="196">
        <v>5</v>
      </c>
      <c r="J28" s="196">
        <v>8.6999999999999993</v>
      </c>
    </row>
    <row r="29" spans="1:10" s="68" customFormat="1" ht="24.75" customHeight="1">
      <c r="A29" s="67" t="s">
        <v>295</v>
      </c>
      <c r="B29" s="267">
        <v>1060</v>
      </c>
      <c r="C29" s="135">
        <f>C13-C14</f>
        <v>2199</v>
      </c>
      <c r="D29" s="135">
        <f>D13-D14</f>
        <v>2689.1999999999989</v>
      </c>
      <c r="E29" s="135">
        <f>E13-E14</f>
        <v>2943.4540000000015</v>
      </c>
      <c r="F29" s="135">
        <f>G29+H29+I29+J29</f>
        <v>3695.5</v>
      </c>
      <c r="G29" s="135">
        <f>ROUND((G13-G14),1)</f>
        <v>855</v>
      </c>
      <c r="H29" s="135">
        <f>ROUND((H13-H14),1)</f>
        <v>790.1</v>
      </c>
      <c r="I29" s="135">
        <f>ROUND((I13-I14),1)</f>
        <v>1014.1</v>
      </c>
      <c r="J29" s="135">
        <f>ROUND((J13-J14),1)</f>
        <v>1036.3</v>
      </c>
    </row>
    <row r="30" spans="1:10" ht="18.75" customHeight="1">
      <c r="A30" s="262" t="s">
        <v>238</v>
      </c>
      <c r="B30" s="207">
        <v>1070</v>
      </c>
      <c r="C30" s="183"/>
      <c r="D30" s="183"/>
      <c r="E30" s="127"/>
      <c r="F30" s="127"/>
      <c r="G30" s="127"/>
      <c r="H30" s="127"/>
      <c r="I30" s="127"/>
      <c r="J30" s="127"/>
    </row>
    <row r="31" spans="1:10" ht="20.100000000000001" customHeight="1">
      <c r="A31" s="9" t="s">
        <v>169</v>
      </c>
      <c r="B31" s="207">
        <v>1080</v>
      </c>
      <c r="C31" s="74">
        <f>SUM(C32:C53)</f>
        <v>1491.4</v>
      </c>
      <c r="D31" s="74">
        <f>SUM(D32:D53)</f>
        <v>1856.1999999999996</v>
      </c>
      <c r="E31" s="74">
        <f>E32+E36+E38+E39+E40+E41+E43+E53+E51</f>
        <v>1930.864</v>
      </c>
      <c r="F31" s="74">
        <f>G31+H31+I31+J31</f>
        <v>2769.8</v>
      </c>
      <c r="G31" s="74">
        <f t="shared" ref="G31:J31" si="2">ROUND((G32+G36+G37+G38+G39+G40+G41+G43+G50+G51),1)</f>
        <v>613.5</v>
      </c>
      <c r="H31" s="74">
        <f t="shared" si="2"/>
        <v>569.79999999999995</v>
      </c>
      <c r="I31" s="74">
        <f t="shared" si="2"/>
        <v>783.3</v>
      </c>
      <c r="J31" s="74">
        <f t="shared" si="2"/>
        <v>803.2</v>
      </c>
    </row>
    <row r="32" spans="1:10" s="190" customFormat="1" ht="38.25" customHeight="1">
      <c r="A32" s="8" t="s">
        <v>86</v>
      </c>
      <c r="B32" s="100">
        <v>1081</v>
      </c>
      <c r="C32" s="81">
        <v>161.19999999999999</v>
      </c>
      <c r="D32" s="81">
        <v>169.7</v>
      </c>
      <c r="E32" s="81">
        <v>159.9</v>
      </c>
      <c r="F32" s="239">
        <f t="shared" ref="F32:F61" si="3">G32+H32+I32+J32</f>
        <v>254.00521999999998</v>
      </c>
      <c r="G32" s="275">
        <v>52</v>
      </c>
      <c r="H32" s="275">
        <v>50.099999999999994</v>
      </c>
      <c r="I32" s="309">
        <v>75.952609999999993</v>
      </c>
      <c r="J32" s="309">
        <v>75.952609999999993</v>
      </c>
    </row>
    <row r="33" spans="1:10" s="190" customFormat="1" ht="20.25" customHeight="1">
      <c r="A33" s="8" t="s">
        <v>159</v>
      </c>
      <c r="B33" s="100">
        <v>1082</v>
      </c>
      <c r="C33" s="209"/>
      <c r="D33" s="209"/>
      <c r="E33" s="81"/>
      <c r="F33" s="239">
        <f t="shared" si="3"/>
        <v>0</v>
      </c>
      <c r="G33" s="193"/>
      <c r="H33" s="274"/>
      <c r="I33" s="309"/>
      <c r="J33" s="309"/>
    </row>
    <row r="34" spans="1:10" s="190" customFormat="1" ht="20.100000000000001" customHeight="1">
      <c r="A34" s="8" t="s">
        <v>45</v>
      </c>
      <c r="B34" s="100">
        <v>1083</v>
      </c>
      <c r="C34" s="209"/>
      <c r="D34" s="209"/>
      <c r="E34" s="81"/>
      <c r="F34" s="239">
        <f t="shared" si="3"/>
        <v>0</v>
      </c>
      <c r="G34" s="193"/>
      <c r="H34" s="274"/>
      <c r="I34" s="309"/>
      <c r="J34" s="309"/>
    </row>
    <row r="35" spans="1:10" s="190" customFormat="1" ht="20.100000000000001" customHeight="1">
      <c r="A35" s="8" t="s">
        <v>7</v>
      </c>
      <c r="B35" s="100">
        <v>1084</v>
      </c>
      <c r="C35" s="209"/>
      <c r="D35" s="209"/>
      <c r="E35" s="81"/>
      <c r="F35" s="239">
        <f t="shared" si="3"/>
        <v>0</v>
      </c>
      <c r="G35" s="193"/>
      <c r="H35" s="274"/>
      <c r="I35" s="309"/>
      <c r="J35" s="309"/>
    </row>
    <row r="36" spans="1:10" s="190" customFormat="1" ht="20.100000000000001" customHeight="1">
      <c r="A36" s="8" t="s">
        <v>8</v>
      </c>
      <c r="B36" s="100">
        <v>1085</v>
      </c>
      <c r="C36" s="209"/>
      <c r="D36" s="209"/>
      <c r="E36" s="191">
        <v>50</v>
      </c>
      <c r="F36" s="239">
        <f t="shared" si="3"/>
        <v>0</v>
      </c>
      <c r="G36" s="210">
        <v>0</v>
      </c>
      <c r="H36" s="210">
        <v>0</v>
      </c>
      <c r="I36" s="210">
        <v>0</v>
      </c>
      <c r="J36" s="210">
        <v>0</v>
      </c>
    </row>
    <row r="37" spans="1:10" s="2" customFormat="1" ht="20.100000000000001" customHeight="1">
      <c r="A37" s="8" t="s">
        <v>21</v>
      </c>
      <c r="B37" s="100">
        <v>1086</v>
      </c>
      <c r="C37" s="355"/>
      <c r="D37" s="191"/>
      <c r="E37" s="191"/>
      <c r="F37" s="239">
        <f t="shared" si="3"/>
        <v>0</v>
      </c>
      <c r="G37" s="210">
        <v>0</v>
      </c>
      <c r="H37" s="210">
        <v>0</v>
      </c>
      <c r="I37" s="210">
        <v>0</v>
      </c>
      <c r="J37" s="210">
        <v>0</v>
      </c>
    </row>
    <row r="38" spans="1:10" s="2" customFormat="1" ht="20.100000000000001" customHeight="1">
      <c r="A38" s="8" t="s">
        <v>22</v>
      </c>
      <c r="B38" s="100">
        <v>1087</v>
      </c>
      <c r="C38" s="355">
        <v>13.8</v>
      </c>
      <c r="D38" s="191">
        <v>13.1</v>
      </c>
      <c r="E38" s="191">
        <v>14.4</v>
      </c>
      <c r="F38" s="239">
        <f t="shared" si="3"/>
        <v>13.5</v>
      </c>
      <c r="G38" s="210">
        <v>3.5</v>
      </c>
      <c r="H38" s="210">
        <v>3</v>
      </c>
      <c r="I38" s="210">
        <v>3.5</v>
      </c>
      <c r="J38" s="210">
        <v>3.5</v>
      </c>
    </row>
    <row r="39" spans="1:10" s="204" customFormat="1" ht="20.100000000000001" customHeight="1">
      <c r="A39" s="200" t="s">
        <v>23</v>
      </c>
      <c r="B39" s="201">
        <v>1088</v>
      </c>
      <c r="C39" s="210">
        <v>977.1</v>
      </c>
      <c r="D39" s="210">
        <v>1266.0999999999999</v>
      </c>
      <c r="E39" s="210">
        <v>1286.2</v>
      </c>
      <c r="F39" s="232">
        <f t="shared" si="3"/>
        <v>1940.2829999999999</v>
      </c>
      <c r="G39" s="210">
        <v>430</v>
      </c>
      <c r="H39" s="210">
        <v>406.9</v>
      </c>
      <c r="I39" s="210">
        <v>544.07100000000003</v>
      </c>
      <c r="J39" s="210">
        <v>559.31200000000001</v>
      </c>
    </row>
    <row r="40" spans="1:10" s="2" customFormat="1" ht="20.100000000000001" customHeight="1">
      <c r="A40" s="8" t="s">
        <v>24</v>
      </c>
      <c r="B40" s="100">
        <v>1089</v>
      </c>
      <c r="C40" s="355">
        <v>225.9</v>
      </c>
      <c r="D40" s="191">
        <v>278.5</v>
      </c>
      <c r="E40" s="191">
        <f>E39*0.22</f>
        <v>282.964</v>
      </c>
      <c r="F40" s="232">
        <f t="shared" si="3"/>
        <v>428.44425999999999</v>
      </c>
      <c r="G40" s="210">
        <v>95</v>
      </c>
      <c r="H40" s="210">
        <v>90.699999999999989</v>
      </c>
      <c r="I40" s="210">
        <v>119.69562000000001</v>
      </c>
      <c r="J40" s="210">
        <v>123.04864000000001</v>
      </c>
    </row>
    <row r="41" spans="1:10" s="2" customFormat="1" ht="59.25" customHeight="1">
      <c r="A41" s="200" t="s">
        <v>25</v>
      </c>
      <c r="B41" s="205">
        <v>1090</v>
      </c>
      <c r="C41" s="355">
        <v>4.2</v>
      </c>
      <c r="D41" s="191">
        <v>4.5999999999999996</v>
      </c>
      <c r="E41" s="191">
        <v>4.4000000000000004</v>
      </c>
      <c r="F41" s="232">
        <f t="shared" si="3"/>
        <v>5.6</v>
      </c>
      <c r="G41" s="275">
        <v>0.9</v>
      </c>
      <c r="H41" s="275">
        <v>0.9</v>
      </c>
      <c r="I41" s="309">
        <v>2</v>
      </c>
      <c r="J41" s="309">
        <v>1.8</v>
      </c>
    </row>
    <row r="42" spans="1:10" s="2" customFormat="1" ht="64.5" customHeight="1">
      <c r="A42" s="200" t="s">
        <v>26</v>
      </c>
      <c r="B42" s="205">
        <v>1091</v>
      </c>
      <c r="C42" s="355"/>
      <c r="D42" s="191"/>
      <c r="E42" s="191"/>
      <c r="F42" s="232">
        <f t="shared" si="3"/>
        <v>0</v>
      </c>
      <c r="G42" s="275"/>
      <c r="H42" s="274"/>
      <c r="I42" s="309"/>
      <c r="J42" s="333"/>
    </row>
    <row r="43" spans="1:10" s="2" customFormat="1" ht="39.75" customHeight="1">
      <c r="A43" s="200" t="s">
        <v>27</v>
      </c>
      <c r="B43" s="205">
        <v>1092</v>
      </c>
      <c r="C43" s="355"/>
      <c r="D43" s="191">
        <v>3.6</v>
      </c>
      <c r="E43" s="191">
        <v>16</v>
      </c>
      <c r="F43" s="232">
        <f t="shared" si="3"/>
        <v>8</v>
      </c>
      <c r="G43" s="275">
        <v>0</v>
      </c>
      <c r="H43" s="274"/>
      <c r="I43" s="309">
        <v>4</v>
      </c>
      <c r="J43" s="309">
        <v>4</v>
      </c>
    </row>
    <row r="44" spans="1:10" s="204" customFormat="1" ht="20.100000000000001" hidden="1" customHeight="1" outlineLevel="1">
      <c r="A44" s="200" t="s">
        <v>28</v>
      </c>
      <c r="B44" s="271">
        <v>1093</v>
      </c>
      <c r="C44" s="202"/>
      <c r="D44" s="202"/>
      <c r="E44" s="202"/>
      <c r="F44" s="232">
        <f t="shared" si="3"/>
        <v>0</v>
      </c>
      <c r="G44" s="203"/>
      <c r="H44" s="203"/>
      <c r="I44" s="203"/>
      <c r="J44" s="203"/>
    </row>
    <row r="45" spans="1:10" s="204" customFormat="1" ht="20.100000000000001" hidden="1" customHeight="1" outlineLevel="1">
      <c r="A45" s="200" t="s">
        <v>29</v>
      </c>
      <c r="B45" s="271">
        <v>1094</v>
      </c>
      <c r="C45" s="202"/>
      <c r="D45" s="202"/>
      <c r="E45" s="202"/>
      <c r="F45" s="232">
        <f t="shared" si="3"/>
        <v>0</v>
      </c>
      <c r="G45" s="203"/>
      <c r="H45" s="203"/>
      <c r="I45" s="203"/>
      <c r="J45" s="203"/>
    </row>
    <row r="46" spans="1:10" s="204" customFormat="1" ht="20.100000000000001" hidden="1" customHeight="1" outlineLevel="1">
      <c r="A46" s="200" t="s">
        <v>49</v>
      </c>
      <c r="B46" s="271">
        <v>1095</v>
      </c>
      <c r="C46" s="202"/>
      <c r="D46" s="202"/>
      <c r="E46" s="202"/>
      <c r="F46" s="232">
        <f t="shared" si="3"/>
        <v>0</v>
      </c>
      <c r="G46" s="203"/>
      <c r="H46" s="203"/>
      <c r="I46" s="203"/>
      <c r="J46" s="203"/>
    </row>
    <row r="47" spans="1:10" s="204" customFormat="1" ht="20.100000000000001" hidden="1" customHeight="1" outlineLevel="1">
      <c r="A47" s="200" t="s">
        <v>30</v>
      </c>
      <c r="B47" s="271">
        <v>1096</v>
      </c>
      <c r="C47" s="202"/>
      <c r="D47" s="202"/>
      <c r="E47" s="202"/>
      <c r="F47" s="232">
        <f t="shared" si="3"/>
        <v>0</v>
      </c>
      <c r="G47" s="203"/>
      <c r="H47" s="203"/>
      <c r="I47" s="203"/>
      <c r="J47" s="203"/>
    </row>
    <row r="48" spans="1:10" s="204" customFormat="1" ht="20.100000000000001" hidden="1" customHeight="1" outlineLevel="1">
      <c r="A48" s="200" t="s">
        <v>31</v>
      </c>
      <c r="B48" s="271">
        <v>1097</v>
      </c>
      <c r="C48" s="202"/>
      <c r="D48" s="202"/>
      <c r="E48" s="202"/>
      <c r="F48" s="232">
        <f t="shared" si="3"/>
        <v>0</v>
      </c>
      <c r="G48" s="203"/>
      <c r="H48" s="203"/>
      <c r="I48" s="203"/>
      <c r="J48" s="203"/>
    </row>
    <row r="49" spans="1:10" s="204" customFormat="1" ht="20.100000000000001" hidden="1" customHeight="1" outlineLevel="1">
      <c r="A49" s="200" t="s">
        <v>32</v>
      </c>
      <c r="B49" s="271">
        <v>1098</v>
      </c>
      <c r="C49" s="202"/>
      <c r="D49" s="202"/>
      <c r="E49" s="202"/>
      <c r="F49" s="232">
        <f t="shared" si="3"/>
        <v>0</v>
      </c>
      <c r="G49" s="203"/>
      <c r="H49" s="203"/>
      <c r="I49" s="203"/>
      <c r="J49" s="203"/>
    </row>
    <row r="50" spans="1:10" s="204" customFormat="1" ht="38.25" customHeight="1" collapsed="1">
      <c r="A50" s="200" t="s">
        <v>33</v>
      </c>
      <c r="B50" s="271">
        <v>1099</v>
      </c>
      <c r="C50" s="202"/>
      <c r="D50" s="202"/>
      <c r="E50" s="202"/>
      <c r="F50" s="232">
        <f t="shared" si="3"/>
        <v>0</v>
      </c>
      <c r="G50" s="275">
        <v>0</v>
      </c>
      <c r="H50" s="239"/>
      <c r="I50" s="239"/>
      <c r="J50" s="239"/>
    </row>
    <row r="51" spans="1:10" s="2" customFormat="1" ht="79.5" customHeight="1">
      <c r="A51" s="8" t="s">
        <v>60</v>
      </c>
      <c r="B51" s="205">
        <v>1100</v>
      </c>
      <c r="C51" s="185"/>
      <c r="D51" s="185"/>
      <c r="E51" s="191">
        <v>0</v>
      </c>
      <c r="F51" s="239">
        <f>G51+H51+I51+J51</f>
        <v>120</v>
      </c>
      <c r="G51" s="275">
        <v>32.1</v>
      </c>
      <c r="H51" s="288">
        <v>18.2</v>
      </c>
      <c r="I51" s="309">
        <v>34.1</v>
      </c>
      <c r="J51" s="309">
        <v>35.6</v>
      </c>
    </row>
    <row r="52" spans="1:10" s="2" customFormat="1" ht="37.5">
      <c r="A52" s="8" t="s">
        <v>355</v>
      </c>
      <c r="B52" s="205">
        <v>1101</v>
      </c>
      <c r="C52" s="185"/>
      <c r="D52" s="185"/>
      <c r="E52" s="191">
        <v>0</v>
      </c>
      <c r="F52" s="232">
        <f>G52+H52+I52+J52</f>
        <v>0</v>
      </c>
      <c r="G52" s="275">
        <v>0</v>
      </c>
      <c r="H52" s="239"/>
      <c r="I52" s="239"/>
      <c r="J52" s="239"/>
    </row>
    <row r="53" spans="1:10" s="2" customFormat="1" ht="38.25" customHeight="1">
      <c r="A53" s="200" t="s">
        <v>276</v>
      </c>
      <c r="B53" s="205">
        <v>1102</v>
      </c>
      <c r="C53" s="355">
        <f>C54+C55+C56+C61+C59+C57+C58+C60</f>
        <v>109.19999999999999</v>
      </c>
      <c r="D53" s="191">
        <f>D54+D55+D56+D61+D59+D57+D58+D60</f>
        <v>120.6</v>
      </c>
      <c r="E53" s="191">
        <f>E55+E56+E61+E59+E58+E57+E60+E54</f>
        <v>117</v>
      </c>
      <c r="F53" s="239">
        <f>G53+H53+I53+J53</f>
        <v>120</v>
      </c>
      <c r="G53" s="275">
        <f>G54+G55+G56+G61+G59+G58+G57+G60</f>
        <v>32.1</v>
      </c>
      <c r="H53" s="275">
        <f>H54+H55+H56+H61+H59+H58+H57+H60</f>
        <v>18.2</v>
      </c>
      <c r="I53" s="309">
        <f>I54+I55+I56+I61+I59+I58+I57+I60</f>
        <v>34.1</v>
      </c>
      <c r="J53" s="309">
        <f>J54+J55+J56+J61+J59+J58+J57+J60</f>
        <v>35.6</v>
      </c>
    </row>
    <row r="54" spans="1:10" s="199" customFormat="1" ht="20.100000000000001" customHeight="1">
      <c r="A54" s="122" t="s">
        <v>267</v>
      </c>
      <c r="B54" s="197"/>
      <c r="C54" s="197">
        <v>0.8</v>
      </c>
      <c r="D54" s="198"/>
      <c r="E54" s="196">
        <v>0</v>
      </c>
      <c r="F54" s="196">
        <f t="shared" si="3"/>
        <v>0</v>
      </c>
      <c r="G54" s="196">
        <v>0</v>
      </c>
      <c r="H54" s="196">
        <v>0</v>
      </c>
      <c r="I54" s="196">
        <v>0</v>
      </c>
      <c r="J54" s="196">
        <v>0</v>
      </c>
    </row>
    <row r="55" spans="1:10" s="199" customFormat="1" ht="20.100000000000001" customHeight="1">
      <c r="A55" s="122" t="s">
        <v>47</v>
      </c>
      <c r="B55" s="197"/>
      <c r="C55" s="197">
        <v>36.700000000000003</v>
      </c>
      <c r="D55" s="196">
        <v>36.799999999999997</v>
      </c>
      <c r="E55" s="196">
        <v>28.799999999999997</v>
      </c>
      <c r="F55" s="196">
        <f t="shared" si="3"/>
        <v>43.1</v>
      </c>
      <c r="G55" s="196">
        <v>11.9</v>
      </c>
      <c r="H55" s="196">
        <v>8.7999999999999989</v>
      </c>
      <c r="I55" s="196">
        <v>11</v>
      </c>
      <c r="J55" s="196">
        <v>11.4</v>
      </c>
    </row>
    <row r="56" spans="1:10" s="199" customFormat="1" ht="20.100000000000001" customHeight="1">
      <c r="A56" s="122" t="s">
        <v>269</v>
      </c>
      <c r="B56" s="197"/>
      <c r="C56" s="197">
        <v>3.5</v>
      </c>
      <c r="D56" s="196">
        <v>1.4</v>
      </c>
      <c r="E56" s="196">
        <v>1.7000000000000002</v>
      </c>
      <c r="F56" s="196">
        <f t="shared" si="3"/>
        <v>4.5</v>
      </c>
      <c r="G56" s="196">
        <v>0.4</v>
      </c>
      <c r="H56" s="196">
        <v>1.1000000000000001</v>
      </c>
      <c r="I56" s="196">
        <v>1.5</v>
      </c>
      <c r="J56" s="196">
        <v>1.5</v>
      </c>
    </row>
    <row r="57" spans="1:10" s="199" customFormat="1" ht="20.100000000000001" customHeight="1">
      <c r="A57" s="122" t="s">
        <v>150</v>
      </c>
      <c r="B57" s="197"/>
      <c r="C57" s="197">
        <v>16.399999999999999</v>
      </c>
      <c r="D57" s="196">
        <v>29.8</v>
      </c>
      <c r="E57" s="196">
        <v>24.1</v>
      </c>
      <c r="F57" s="196">
        <f t="shared" si="3"/>
        <v>15.7</v>
      </c>
      <c r="G57" s="305">
        <v>2.5</v>
      </c>
      <c r="H57" s="305">
        <v>3.0999999999999996</v>
      </c>
      <c r="I57" s="196">
        <v>4.5</v>
      </c>
      <c r="J57" s="196">
        <v>5.6</v>
      </c>
    </row>
    <row r="58" spans="1:10" s="199" customFormat="1" ht="20.100000000000001" customHeight="1">
      <c r="A58" s="122" t="s">
        <v>271</v>
      </c>
      <c r="B58" s="197"/>
      <c r="C58" s="197">
        <v>11.8</v>
      </c>
      <c r="D58" s="196">
        <v>14</v>
      </c>
      <c r="E58" s="196">
        <v>18.399999999999999</v>
      </c>
      <c r="F58" s="196">
        <f t="shared" si="3"/>
        <v>16.899999999999999</v>
      </c>
      <c r="G58" s="196">
        <v>3.9</v>
      </c>
      <c r="H58" s="196">
        <v>4</v>
      </c>
      <c r="I58" s="196">
        <v>4.5</v>
      </c>
      <c r="J58" s="196">
        <v>4.5</v>
      </c>
    </row>
    <row r="59" spans="1:10" s="199" customFormat="1" ht="20.100000000000001" customHeight="1">
      <c r="A59" s="122" t="s">
        <v>270</v>
      </c>
      <c r="B59" s="197"/>
      <c r="C59" s="197">
        <v>0</v>
      </c>
      <c r="D59" s="196">
        <v>0</v>
      </c>
      <c r="E59" s="196">
        <v>0</v>
      </c>
      <c r="F59" s="196">
        <f t="shared" si="3"/>
        <v>0</v>
      </c>
      <c r="G59" s="196">
        <v>0</v>
      </c>
      <c r="H59" s="196">
        <v>0</v>
      </c>
      <c r="I59" s="196">
        <v>0</v>
      </c>
      <c r="J59" s="196">
        <v>0</v>
      </c>
    </row>
    <row r="60" spans="1:10" s="199" customFormat="1" ht="16.5" customHeight="1">
      <c r="A60" s="122" t="s">
        <v>354</v>
      </c>
      <c r="B60" s="197"/>
      <c r="C60" s="197">
        <v>36.6</v>
      </c>
      <c r="D60" s="196">
        <v>34.9</v>
      </c>
      <c r="E60" s="196">
        <v>40</v>
      </c>
      <c r="F60" s="196">
        <f t="shared" si="3"/>
        <v>35.799999999999997</v>
      </c>
      <c r="G60" s="196">
        <v>12.5</v>
      </c>
      <c r="H60" s="196">
        <v>0.30000000000000071</v>
      </c>
      <c r="I60" s="196">
        <v>11.5</v>
      </c>
      <c r="J60" s="196">
        <v>11.5</v>
      </c>
    </row>
    <row r="61" spans="1:10" s="199" customFormat="1" ht="20.100000000000001" customHeight="1">
      <c r="A61" s="122" t="s">
        <v>268</v>
      </c>
      <c r="B61" s="197"/>
      <c r="C61" s="197">
        <v>3.4</v>
      </c>
      <c r="D61" s="196">
        <v>3.7</v>
      </c>
      <c r="E61" s="196">
        <v>4</v>
      </c>
      <c r="F61" s="196">
        <f t="shared" si="3"/>
        <v>4</v>
      </c>
      <c r="G61" s="196">
        <v>0.9</v>
      </c>
      <c r="H61" s="196">
        <v>0.9</v>
      </c>
      <c r="I61" s="196">
        <v>1.1000000000000001</v>
      </c>
      <c r="J61" s="196">
        <v>1.1000000000000001</v>
      </c>
    </row>
    <row r="62" spans="1:10" s="190" customFormat="1" ht="20.100000000000001" customHeight="1">
      <c r="A62" s="186" t="s">
        <v>170</v>
      </c>
      <c r="B62" s="207">
        <v>1110</v>
      </c>
      <c r="C62" s="74">
        <f>SUM(C63:C69)</f>
        <v>553.79999999999995</v>
      </c>
      <c r="D62" s="74">
        <f>SUM(D63:D69)</f>
        <v>684.7</v>
      </c>
      <c r="E62" s="74">
        <f>SUM(E63:E69)</f>
        <v>851.4</v>
      </c>
      <c r="F62" s="74">
        <f>SUM(F63:F69)</f>
        <v>823.35</v>
      </c>
      <c r="G62" s="74">
        <f>ROUND(SUM(G63:G69),1)</f>
        <v>209.4</v>
      </c>
      <c r="H62" s="74">
        <f>ROUND(SUM(H63:H69),1)</f>
        <v>194.7</v>
      </c>
      <c r="I62" s="74">
        <f>ROUND(SUM(I63:I69),1)</f>
        <v>208</v>
      </c>
      <c r="J62" s="74">
        <f>ROUND(SUM(J63:J69),1)</f>
        <v>211.3</v>
      </c>
    </row>
    <row r="63" spans="1:10" s="2" customFormat="1" ht="20.100000000000001" customHeight="1">
      <c r="A63" s="8" t="s">
        <v>142</v>
      </c>
      <c r="B63" s="205">
        <v>1111</v>
      </c>
      <c r="C63" s="205"/>
      <c r="D63" s="185"/>
      <c r="E63" s="191"/>
      <c r="F63" s="191"/>
      <c r="G63" s="275"/>
      <c r="H63" s="274"/>
      <c r="I63" s="309"/>
      <c r="J63" s="309"/>
    </row>
    <row r="64" spans="1:10" s="2" customFormat="1" ht="20.100000000000001" customHeight="1">
      <c r="A64" s="8" t="s">
        <v>143</v>
      </c>
      <c r="B64" s="205">
        <v>1112</v>
      </c>
      <c r="C64" s="205"/>
      <c r="D64" s="185"/>
      <c r="E64" s="191"/>
      <c r="F64" s="191"/>
      <c r="G64" s="275"/>
      <c r="H64" s="274"/>
      <c r="I64" s="309"/>
      <c r="J64" s="309"/>
    </row>
    <row r="65" spans="1:10" s="2" customFormat="1" ht="20.100000000000001" customHeight="1">
      <c r="A65" s="8" t="s">
        <v>23</v>
      </c>
      <c r="B65" s="205">
        <v>1113</v>
      </c>
      <c r="C65" s="363">
        <v>290</v>
      </c>
      <c r="D65" s="191">
        <v>403</v>
      </c>
      <c r="E65" s="191">
        <v>454.3</v>
      </c>
      <c r="F65" s="193">
        <f>G65+H65+I65+J65</f>
        <v>514.9</v>
      </c>
      <c r="G65" s="193">
        <v>123</v>
      </c>
      <c r="H65" s="193">
        <v>129.1</v>
      </c>
      <c r="I65" s="193">
        <v>130.9</v>
      </c>
      <c r="J65" s="193">
        <v>131.9</v>
      </c>
    </row>
    <row r="66" spans="1:10" s="2" customFormat="1" ht="20.100000000000001" customHeight="1">
      <c r="A66" s="8" t="s">
        <v>266</v>
      </c>
      <c r="B66" s="187" t="s">
        <v>339</v>
      </c>
      <c r="C66" s="364">
        <v>59</v>
      </c>
      <c r="D66" s="191">
        <v>80.8</v>
      </c>
      <c r="E66" s="191">
        <v>100</v>
      </c>
      <c r="F66" s="193">
        <f>G66+H66+I66+J66</f>
        <v>104.1</v>
      </c>
      <c r="G66" s="193">
        <v>22.6</v>
      </c>
      <c r="H66" s="193">
        <v>23.7</v>
      </c>
      <c r="I66" s="193">
        <v>28.8</v>
      </c>
      <c r="J66" s="193">
        <v>29</v>
      </c>
    </row>
    <row r="67" spans="1:10" s="2" customFormat="1" ht="38.25" customHeight="1">
      <c r="A67" s="8" t="s">
        <v>46</v>
      </c>
      <c r="B67" s="205">
        <v>1114</v>
      </c>
      <c r="C67" s="363">
        <v>2</v>
      </c>
      <c r="D67" s="191">
        <v>8</v>
      </c>
      <c r="E67" s="191">
        <v>100</v>
      </c>
      <c r="F67" s="193">
        <f>G67+H67+I67+J67</f>
        <v>2</v>
      </c>
      <c r="G67" s="275">
        <v>0.5</v>
      </c>
      <c r="H67" s="275">
        <v>0.5</v>
      </c>
      <c r="I67" s="193">
        <v>0.8</v>
      </c>
      <c r="J67" s="193">
        <v>0.2</v>
      </c>
    </row>
    <row r="68" spans="1:10" s="2" customFormat="1" ht="20.100000000000001" customHeight="1">
      <c r="A68" s="8" t="s">
        <v>63</v>
      </c>
      <c r="B68" s="205">
        <v>1115</v>
      </c>
      <c r="C68" s="205"/>
      <c r="D68" s="185"/>
      <c r="E68" s="191"/>
      <c r="F68" s="191"/>
      <c r="G68" s="275"/>
      <c r="H68" s="274"/>
      <c r="I68" s="309"/>
      <c r="J68" s="309"/>
    </row>
    <row r="69" spans="1:10" s="2" customFormat="1" ht="20.100000000000001" customHeight="1">
      <c r="A69" s="8" t="s">
        <v>275</v>
      </c>
      <c r="B69" s="205">
        <v>1116</v>
      </c>
      <c r="C69" s="355">
        <f>C70+C71+C72+C73+C74+C75+C76+C77+C78</f>
        <v>202.8</v>
      </c>
      <c r="D69" s="191">
        <f>D70+D71+D72+D73+D74+D75+D76+D77+D78</f>
        <v>192.9</v>
      </c>
      <c r="E69" s="191">
        <f>E70+E71+E72+E73+E74+E75+E76+E77+E78</f>
        <v>197.1</v>
      </c>
      <c r="F69" s="322">
        <f t="shared" ref="F69" si="4">SUM(F70:F78)</f>
        <v>202.35</v>
      </c>
      <c r="G69" s="309">
        <f>ROUND(SUM(G70:G78),1)</f>
        <v>63.3</v>
      </c>
      <c r="H69" s="309">
        <f>ROUND(SUM(H70:H78),1)</f>
        <v>41.4</v>
      </c>
      <c r="I69" s="309">
        <f>ROUND(SUM(I70:I78),1)</f>
        <v>47.5</v>
      </c>
      <c r="J69" s="309">
        <f>ROUND(SUM(J70:J78),1)</f>
        <v>50.2</v>
      </c>
    </row>
    <row r="70" spans="1:10" s="199" customFormat="1" ht="20.100000000000001" customHeight="1">
      <c r="A70" s="192" t="s">
        <v>267</v>
      </c>
      <c r="B70" s="206" t="s">
        <v>330</v>
      </c>
      <c r="C70" s="206">
        <v>41.7</v>
      </c>
      <c r="D70" s="193">
        <v>45</v>
      </c>
      <c r="E70" s="193">
        <v>48.7</v>
      </c>
      <c r="F70" s="193">
        <f>G70+H70+I70+J70</f>
        <v>33.6</v>
      </c>
      <c r="G70" s="193">
        <v>22.1</v>
      </c>
      <c r="H70" s="193">
        <v>0.19999999999999929</v>
      </c>
      <c r="I70" s="193">
        <v>3.3</v>
      </c>
      <c r="J70" s="193">
        <v>8</v>
      </c>
    </row>
    <row r="71" spans="1:10" s="199" customFormat="1" ht="20.100000000000001" customHeight="1">
      <c r="A71" s="192" t="s">
        <v>47</v>
      </c>
      <c r="B71" s="206" t="s">
        <v>331</v>
      </c>
      <c r="C71" s="365">
        <v>12</v>
      </c>
      <c r="D71" s="193">
        <v>11.6</v>
      </c>
      <c r="E71" s="193">
        <v>10.399999999999999</v>
      </c>
      <c r="F71" s="193">
        <f t="shared" ref="F71:F78" si="5">G71+H71+I71+J71</f>
        <v>12.399999999999999</v>
      </c>
      <c r="G71" s="193">
        <v>3.5</v>
      </c>
      <c r="H71" s="193">
        <v>3.3</v>
      </c>
      <c r="I71" s="193">
        <v>2.8</v>
      </c>
      <c r="J71" s="193">
        <v>2.8</v>
      </c>
    </row>
    <row r="72" spans="1:10" s="199" customFormat="1" ht="20.100000000000001" customHeight="1">
      <c r="A72" s="192" t="s">
        <v>269</v>
      </c>
      <c r="B72" s="206" t="s">
        <v>332</v>
      </c>
      <c r="C72" s="206">
        <v>0.3</v>
      </c>
      <c r="D72" s="193">
        <v>0.2</v>
      </c>
      <c r="E72" s="193">
        <v>0.4</v>
      </c>
      <c r="F72" s="193">
        <f t="shared" si="5"/>
        <v>0.55000000000000004</v>
      </c>
      <c r="G72" s="193">
        <v>0.1</v>
      </c>
      <c r="H72" s="193">
        <v>0.1</v>
      </c>
      <c r="I72" s="193">
        <v>0.2</v>
      </c>
      <c r="J72" s="193">
        <v>0.15</v>
      </c>
    </row>
    <row r="73" spans="1:10" s="199" customFormat="1" ht="20.100000000000001" customHeight="1">
      <c r="A73" s="192" t="s">
        <v>272</v>
      </c>
      <c r="B73" s="206" t="s">
        <v>333</v>
      </c>
      <c r="C73" s="206">
        <v>1.4</v>
      </c>
      <c r="D73" s="193">
        <v>1.3</v>
      </c>
      <c r="E73" s="193">
        <v>1.6</v>
      </c>
      <c r="F73" s="193">
        <f t="shared" si="5"/>
        <v>1.7000000000000002</v>
      </c>
      <c r="G73" s="193">
        <v>0.2</v>
      </c>
      <c r="H73" s="193">
        <v>0.3</v>
      </c>
      <c r="I73" s="193">
        <v>0.6</v>
      </c>
      <c r="J73" s="193">
        <v>0.6</v>
      </c>
    </row>
    <row r="74" spans="1:10" s="199" customFormat="1" ht="20.100000000000001" customHeight="1">
      <c r="A74" s="192" t="s">
        <v>274</v>
      </c>
      <c r="B74" s="206" t="s">
        <v>334</v>
      </c>
      <c r="C74" s="206">
        <v>121.5</v>
      </c>
      <c r="D74" s="193">
        <v>111.2</v>
      </c>
      <c r="E74" s="193">
        <v>107.9</v>
      </c>
      <c r="F74" s="193">
        <f t="shared" si="5"/>
        <v>126.89999999999999</v>
      </c>
      <c r="G74" s="193">
        <v>31.9</v>
      </c>
      <c r="H74" s="193">
        <v>31.4</v>
      </c>
      <c r="I74" s="193">
        <v>31.8</v>
      </c>
      <c r="J74" s="193">
        <v>31.8</v>
      </c>
    </row>
    <row r="75" spans="1:10" s="199" customFormat="1" ht="20.100000000000001" customHeight="1">
      <c r="A75" s="192" t="s">
        <v>268</v>
      </c>
      <c r="B75" s="206" t="s">
        <v>335</v>
      </c>
      <c r="C75" s="206">
        <v>5.4</v>
      </c>
      <c r="D75" s="193">
        <v>4.5</v>
      </c>
      <c r="E75" s="193">
        <v>5.6</v>
      </c>
      <c r="F75" s="193">
        <f t="shared" si="5"/>
        <v>6.4</v>
      </c>
      <c r="G75" s="193">
        <v>1.6</v>
      </c>
      <c r="H75" s="193">
        <v>1.6</v>
      </c>
      <c r="I75" s="193">
        <v>1.6</v>
      </c>
      <c r="J75" s="193">
        <v>1.6</v>
      </c>
    </row>
    <row r="76" spans="1:10" s="199" customFormat="1" ht="20.100000000000001" customHeight="1">
      <c r="A76" s="192" t="s">
        <v>284</v>
      </c>
      <c r="B76" s="206" t="s">
        <v>336</v>
      </c>
      <c r="C76" s="365">
        <v>3</v>
      </c>
      <c r="D76" s="193">
        <v>4.2</v>
      </c>
      <c r="E76" s="193">
        <v>4.4000000000000004</v>
      </c>
      <c r="F76" s="193">
        <f t="shared" si="5"/>
        <v>4.3</v>
      </c>
      <c r="G76" s="193">
        <v>1.1000000000000001</v>
      </c>
      <c r="H76" s="193">
        <v>0.79999999999999982</v>
      </c>
      <c r="I76" s="193">
        <v>1.2</v>
      </c>
      <c r="J76" s="193">
        <v>1.2</v>
      </c>
    </row>
    <row r="77" spans="1:10" s="199" customFormat="1" ht="20.100000000000001" customHeight="1">
      <c r="A77" s="192" t="s">
        <v>285</v>
      </c>
      <c r="B77" s="206" t="s">
        <v>337</v>
      </c>
      <c r="C77" s="365">
        <v>8.5</v>
      </c>
      <c r="D77" s="193">
        <v>8.1</v>
      </c>
      <c r="E77" s="193">
        <v>10.1</v>
      </c>
      <c r="F77" s="193">
        <f t="shared" si="5"/>
        <v>10.9</v>
      </c>
      <c r="G77" s="193">
        <v>2</v>
      </c>
      <c r="H77" s="193">
        <v>2.9000000000000004</v>
      </c>
      <c r="I77" s="193">
        <v>3</v>
      </c>
      <c r="J77" s="193">
        <v>3</v>
      </c>
    </row>
    <row r="78" spans="1:10" s="199" customFormat="1" ht="20.100000000000001" customHeight="1">
      <c r="A78" s="192" t="s">
        <v>152</v>
      </c>
      <c r="B78" s="206" t="s">
        <v>338</v>
      </c>
      <c r="C78" s="365">
        <v>9</v>
      </c>
      <c r="D78" s="193">
        <v>6.8</v>
      </c>
      <c r="E78" s="193">
        <v>8</v>
      </c>
      <c r="F78" s="193">
        <f t="shared" si="5"/>
        <v>5.6</v>
      </c>
      <c r="G78" s="193">
        <v>0.8</v>
      </c>
      <c r="H78" s="193">
        <v>0.8</v>
      </c>
      <c r="I78" s="193">
        <v>3</v>
      </c>
      <c r="J78" s="193">
        <v>1</v>
      </c>
    </row>
    <row r="79" spans="1:10" s="190" customFormat="1" ht="31.5" customHeight="1">
      <c r="A79" s="265" t="s">
        <v>273</v>
      </c>
      <c r="B79" s="207">
        <v>1120</v>
      </c>
      <c r="C79" s="74">
        <f>SUM(C80:C84)</f>
        <v>121.2</v>
      </c>
      <c r="D79" s="74">
        <f>SUM(D80:D84)</f>
        <v>105.39999999999999</v>
      </c>
      <c r="E79" s="74">
        <f t="shared" ref="E79:F79" si="6">E84</f>
        <v>121.2</v>
      </c>
      <c r="F79" s="74">
        <f t="shared" si="6"/>
        <v>65.400000000000006</v>
      </c>
      <c r="G79" s="74">
        <f t="shared" ref="G79:J79" si="7">G84</f>
        <v>16.3</v>
      </c>
      <c r="H79" s="74">
        <f t="shared" si="7"/>
        <v>16.399999999999999</v>
      </c>
      <c r="I79" s="74">
        <f t="shared" si="7"/>
        <v>16.3</v>
      </c>
      <c r="J79" s="74">
        <f t="shared" si="7"/>
        <v>16.399999999999999</v>
      </c>
    </row>
    <row r="80" spans="1:10" s="2" customFormat="1" ht="20.100000000000001" customHeight="1">
      <c r="A80" s="8" t="s">
        <v>53</v>
      </c>
      <c r="B80" s="100">
        <v>1121</v>
      </c>
      <c r="C80" s="100"/>
      <c r="D80" s="84"/>
      <c r="E80" s="84"/>
      <c r="F80" s="84"/>
      <c r="G80" s="84"/>
      <c r="H80" s="84"/>
      <c r="I80" s="84"/>
      <c r="J80" s="84"/>
    </row>
    <row r="81" spans="1:10" s="2" customFormat="1" ht="20.100000000000001" customHeight="1">
      <c r="A81" s="8" t="s">
        <v>34</v>
      </c>
      <c r="B81" s="100">
        <v>1122</v>
      </c>
      <c r="C81" s="100"/>
      <c r="D81" s="84"/>
      <c r="E81" s="84"/>
      <c r="F81" s="84"/>
      <c r="G81" s="84"/>
      <c r="H81" s="84"/>
      <c r="I81" s="84"/>
      <c r="J81" s="84"/>
    </row>
    <row r="82" spans="1:10" s="2" customFormat="1" ht="42.75" customHeight="1">
      <c r="A82" s="8" t="s">
        <v>44</v>
      </c>
      <c r="B82" s="100">
        <v>1123</v>
      </c>
      <c r="C82" s="100"/>
      <c r="D82" s="84"/>
      <c r="E82" s="84"/>
      <c r="F82" s="84"/>
      <c r="G82" s="84"/>
      <c r="H82" s="84"/>
      <c r="I82" s="84"/>
      <c r="J82" s="84"/>
    </row>
    <row r="83" spans="1:10" s="2" customFormat="1" ht="20.100000000000001" customHeight="1">
      <c r="A83" s="8" t="s">
        <v>163</v>
      </c>
      <c r="B83" s="100">
        <v>1124</v>
      </c>
      <c r="C83" s="100"/>
      <c r="D83" s="84"/>
      <c r="E83" s="84"/>
      <c r="F83" s="84"/>
      <c r="G83" s="84"/>
      <c r="H83" s="84"/>
      <c r="I83" s="84"/>
      <c r="J83" s="84"/>
    </row>
    <row r="84" spans="1:10" s="2" customFormat="1" ht="36.75" customHeight="1">
      <c r="A84" s="200" t="s">
        <v>277</v>
      </c>
      <c r="B84" s="205">
        <v>1125</v>
      </c>
      <c r="C84" s="355">
        <f>C85+C86+C87</f>
        <v>121.2</v>
      </c>
      <c r="D84" s="309">
        <f>D85+D86+D87</f>
        <v>105.39999999999999</v>
      </c>
      <c r="E84" s="309">
        <f>E85+E86+E87</f>
        <v>121.2</v>
      </c>
      <c r="F84" s="309">
        <f>ROUND((F85+F86+F87+F88+F89),1)</f>
        <v>65.400000000000006</v>
      </c>
      <c r="G84" s="309">
        <f>ROUND((G85+G86+G87+G88+G89),1)</f>
        <v>16.3</v>
      </c>
      <c r="H84" s="309">
        <f>ROUND((H85+H86+H87+H88+H89),1)</f>
        <v>16.399999999999999</v>
      </c>
      <c r="I84" s="309">
        <f>ROUND((I85+I86+I87+I88+I89),1)</f>
        <v>16.3</v>
      </c>
      <c r="J84" s="309">
        <f>ROUND((J85+J86+J87+J88+J89),1)</f>
        <v>16.399999999999999</v>
      </c>
    </row>
    <row r="85" spans="1:10" s="2" customFormat="1" ht="20.100000000000001" customHeight="1">
      <c r="A85" s="122" t="s">
        <v>364</v>
      </c>
      <c r="B85" s="211"/>
      <c r="C85" s="211">
        <v>1.2</v>
      </c>
      <c r="D85" s="193"/>
      <c r="E85" s="193">
        <v>0.4</v>
      </c>
      <c r="F85" s="232">
        <f>G85+H85+I85+J85</f>
        <v>0</v>
      </c>
      <c r="G85" s="193">
        <v>0</v>
      </c>
      <c r="H85" s="193">
        <v>0</v>
      </c>
      <c r="I85" s="193"/>
      <c r="J85" s="193"/>
    </row>
    <row r="86" spans="1:10" s="217" customFormat="1" ht="20.100000000000001" customHeight="1">
      <c r="A86" s="230" t="s">
        <v>367</v>
      </c>
      <c r="B86" s="231"/>
      <c r="C86" s="231">
        <v>119.3</v>
      </c>
      <c r="D86" s="232">
        <v>104.6</v>
      </c>
      <c r="E86" s="232">
        <v>120</v>
      </c>
      <c r="F86" s="232">
        <f>G86+H86+I86+J86</f>
        <v>64.240000000000009</v>
      </c>
      <c r="G86" s="232">
        <v>16</v>
      </c>
      <c r="H86" s="232">
        <v>16.14</v>
      </c>
      <c r="I86" s="232">
        <v>16</v>
      </c>
      <c r="J86" s="232">
        <v>16.100000000000001</v>
      </c>
    </row>
    <row r="87" spans="1:10" s="2" customFormat="1" ht="20.25" customHeight="1">
      <c r="A87" s="122" t="s">
        <v>365</v>
      </c>
      <c r="B87" s="211"/>
      <c r="C87" s="211">
        <v>0.7</v>
      </c>
      <c r="D87" s="193">
        <v>0.8</v>
      </c>
      <c r="E87" s="193">
        <v>0.8</v>
      </c>
      <c r="F87" s="232">
        <f>G87+H87+I87+J87</f>
        <v>1.2</v>
      </c>
      <c r="G87" s="193">
        <v>0.3</v>
      </c>
      <c r="H87" s="193">
        <v>0.3</v>
      </c>
      <c r="I87" s="193">
        <v>0.3</v>
      </c>
      <c r="J87" s="193">
        <v>0.3</v>
      </c>
    </row>
    <row r="88" spans="1:10" s="2" customFormat="1" ht="20.100000000000001" customHeight="1">
      <c r="A88" s="122" t="s">
        <v>362</v>
      </c>
      <c r="B88" s="211"/>
      <c r="C88" s="211"/>
      <c r="D88" s="193"/>
      <c r="E88" s="193"/>
      <c r="F88" s="232">
        <f>G88+H88+I88+J88</f>
        <v>0</v>
      </c>
      <c r="G88" s="193"/>
      <c r="H88" s="193"/>
      <c r="I88" s="193"/>
      <c r="J88" s="193"/>
    </row>
    <row r="89" spans="1:10" s="2" customFormat="1" ht="20.100000000000001" customHeight="1">
      <c r="A89" s="122" t="s">
        <v>366</v>
      </c>
      <c r="B89" s="211"/>
      <c r="C89" s="211"/>
      <c r="D89" s="193"/>
      <c r="E89" s="193"/>
      <c r="F89" s="232">
        <f>G89+H89+I89+J89</f>
        <v>0</v>
      </c>
      <c r="G89" s="193"/>
      <c r="H89" s="193"/>
      <c r="I89" s="193"/>
      <c r="J89" s="193"/>
    </row>
    <row r="90" spans="1:10" s="68" customFormat="1" ht="39.75" customHeight="1">
      <c r="A90" s="67" t="s">
        <v>241</v>
      </c>
      <c r="B90" s="266">
        <v>1130</v>
      </c>
      <c r="C90" s="135">
        <f>C29+C30-C31-C62-C79</f>
        <v>32.599999999999952</v>
      </c>
      <c r="D90" s="135">
        <f>D29+D30-D31-D62-D79</f>
        <v>42.899999999999281</v>
      </c>
      <c r="E90" s="135">
        <f>E29+E30-E31-E62-E79</f>
        <v>39.99000000000153</v>
      </c>
      <c r="F90" s="135">
        <f>ROUND((F29+F30-F31-F62-F79),1)</f>
        <v>36.9</v>
      </c>
      <c r="G90" s="135">
        <f>ROUND((G29+G30-G31-G62-G79),1)</f>
        <v>15.8</v>
      </c>
      <c r="H90" s="135">
        <f>ROUND((H29+H30-H31-H62-H79),1)</f>
        <v>9.1999999999999993</v>
      </c>
      <c r="I90" s="135">
        <f>ROUND((I29+I30-I31-I62-I79),1)</f>
        <v>6.5</v>
      </c>
      <c r="J90" s="135">
        <f>ROUND((J29+J30-J31-J62-J79),1)</f>
        <v>5.4</v>
      </c>
    </row>
    <row r="91" spans="1:10" s="190" customFormat="1" ht="21.75" customHeight="1">
      <c r="A91" s="186" t="s">
        <v>88</v>
      </c>
      <c r="B91" s="207">
        <v>1140</v>
      </c>
      <c r="C91" s="207"/>
      <c r="D91" s="181"/>
      <c r="E91" s="137"/>
      <c r="F91" s="74"/>
      <c r="G91" s="74"/>
      <c r="H91" s="74"/>
      <c r="I91" s="74"/>
      <c r="J91" s="74"/>
    </row>
    <row r="92" spans="1:10" s="190" customFormat="1" ht="22.5" customHeight="1">
      <c r="A92" s="186" t="s">
        <v>89</v>
      </c>
      <c r="B92" s="207">
        <v>1150</v>
      </c>
      <c r="C92" s="207"/>
      <c r="D92" s="180"/>
      <c r="E92" s="74"/>
      <c r="F92" s="74"/>
      <c r="G92" s="74"/>
      <c r="H92" s="74"/>
      <c r="I92" s="74"/>
      <c r="J92" s="74"/>
    </row>
    <row r="93" spans="1:10" s="190" customFormat="1" ht="44.25" customHeight="1">
      <c r="A93" s="186" t="s">
        <v>164</v>
      </c>
      <c r="B93" s="207">
        <v>1160</v>
      </c>
      <c r="C93" s="207"/>
      <c r="D93" s="181"/>
      <c r="E93" s="137"/>
      <c r="F93" s="74"/>
      <c r="G93" s="74"/>
      <c r="H93" s="74"/>
      <c r="I93" s="74"/>
      <c r="J93" s="74"/>
    </row>
    <row r="94" spans="1:10" s="190" customFormat="1" ht="36" customHeight="1">
      <c r="A94" s="186" t="s">
        <v>165</v>
      </c>
      <c r="B94" s="207">
        <v>1170</v>
      </c>
      <c r="C94" s="207"/>
      <c r="D94" s="180"/>
      <c r="E94" s="74"/>
      <c r="F94" s="74"/>
      <c r="G94" s="74"/>
      <c r="H94" s="74"/>
      <c r="I94" s="74"/>
      <c r="J94" s="74"/>
    </row>
    <row r="95" spans="1:10" s="68" customFormat="1" ht="43.5" customHeight="1">
      <c r="A95" s="171" t="s">
        <v>242</v>
      </c>
      <c r="B95" s="267">
        <v>1200</v>
      </c>
      <c r="C95" s="172">
        <f>C90</f>
        <v>32.599999999999952</v>
      </c>
      <c r="D95" s="172">
        <f>D90</f>
        <v>42.899999999999281</v>
      </c>
      <c r="E95" s="172">
        <f>E90+E91+E93-E92-E94</f>
        <v>39.99000000000153</v>
      </c>
      <c r="F95" s="172">
        <f>ROUND((F90+F91+F93-F92-F94),1)</f>
        <v>36.9</v>
      </c>
      <c r="G95" s="172">
        <f>ROUND((G90+G91+G93-G92-G94),1)</f>
        <v>15.8</v>
      </c>
      <c r="H95" s="172">
        <f t="shared" ref="H95:J95" si="8">ROUND((H90+H91+H93-H92-H94),1)</f>
        <v>9.1999999999999993</v>
      </c>
      <c r="I95" s="172">
        <f t="shared" si="8"/>
        <v>6.5</v>
      </c>
      <c r="J95" s="172">
        <f t="shared" si="8"/>
        <v>5.4</v>
      </c>
    </row>
    <row r="96" spans="1:10" s="190" customFormat="1" ht="23.25" customHeight="1">
      <c r="A96" s="8" t="s">
        <v>109</v>
      </c>
      <c r="B96" s="205">
        <v>1210</v>
      </c>
      <c r="C96" s="205">
        <v>5.9</v>
      </c>
      <c r="D96" s="191">
        <v>7.8</v>
      </c>
      <c r="E96" s="191">
        <v>7.2</v>
      </c>
      <c r="F96" s="191">
        <f>G96+H96+I96+J96</f>
        <v>7.2</v>
      </c>
      <c r="G96" s="275">
        <v>2.8</v>
      </c>
      <c r="H96" s="274">
        <v>2.2000000000000002</v>
      </c>
      <c r="I96" s="309">
        <f>ROUND(I95*0.18,1)</f>
        <v>1.2</v>
      </c>
      <c r="J96" s="309">
        <f>ROUND(J95*0.18,1)</f>
        <v>1</v>
      </c>
    </row>
    <row r="97" spans="1:10" s="190" customFormat="1" ht="37.5">
      <c r="A97" s="8" t="s">
        <v>110</v>
      </c>
      <c r="B97" s="205">
        <v>1220</v>
      </c>
      <c r="C97" s="205"/>
      <c r="D97" s="185"/>
      <c r="E97" s="191"/>
      <c r="F97" s="191"/>
      <c r="G97" s="297"/>
      <c r="H97" s="274"/>
      <c r="I97" s="274"/>
      <c r="J97" s="274"/>
    </row>
    <row r="98" spans="1:10" s="68" customFormat="1" ht="41.25" customHeight="1">
      <c r="A98" s="67" t="s">
        <v>244</v>
      </c>
      <c r="B98" s="267">
        <v>1230</v>
      </c>
      <c r="C98" s="172">
        <f t="shared" ref="C98:E98" si="9">C95-C96</f>
        <v>26.699999999999953</v>
      </c>
      <c r="D98" s="172">
        <f t="shared" si="9"/>
        <v>35.099999999999284</v>
      </c>
      <c r="E98" s="172">
        <f t="shared" si="9"/>
        <v>32.790000000001527</v>
      </c>
      <c r="F98" s="172">
        <f>F95-F96</f>
        <v>29.7</v>
      </c>
      <c r="G98" s="172">
        <f>ROUND((G95-G96),1)</f>
        <v>13</v>
      </c>
      <c r="H98" s="172">
        <f>ROUND((H95-H96),1)</f>
        <v>7</v>
      </c>
      <c r="I98" s="172">
        <f>ROUND((I95-I96),1)</f>
        <v>5.3</v>
      </c>
      <c r="J98" s="172">
        <f>ROUND((J95-J96),1)</f>
        <v>4.4000000000000004</v>
      </c>
    </row>
    <row r="99" spans="1:10" s="5" customFormat="1" ht="20.100000000000001" customHeight="1">
      <c r="A99" s="392" t="s">
        <v>198</v>
      </c>
      <c r="B99" s="393"/>
      <c r="C99" s="393"/>
      <c r="D99" s="393"/>
      <c r="E99" s="393"/>
      <c r="F99" s="393"/>
      <c r="G99" s="393"/>
      <c r="H99" s="393"/>
      <c r="I99" s="393"/>
      <c r="J99" s="393"/>
    </row>
    <row r="100" spans="1:10" s="190" customFormat="1" ht="20.100000000000001" customHeight="1">
      <c r="A100" s="8" t="s">
        <v>6</v>
      </c>
      <c r="B100" s="100">
        <v>1240</v>
      </c>
      <c r="C100" s="355">
        <f t="shared" ref="C100" si="10">C13+C30+C91+C93</f>
        <v>12014</v>
      </c>
      <c r="D100" s="191">
        <f t="shared" ref="D100:J100" si="11">D13+D30+D91+D93</f>
        <v>15485.199999999999</v>
      </c>
      <c r="E100" s="191">
        <f t="shared" si="11"/>
        <v>15217</v>
      </c>
      <c r="F100" s="74">
        <f t="shared" si="11"/>
        <v>18975.400000000001</v>
      </c>
      <c r="G100" s="74">
        <f t="shared" si="11"/>
        <v>4057</v>
      </c>
      <c r="H100" s="74">
        <f t="shared" si="11"/>
        <v>4648.3999999999996</v>
      </c>
      <c r="I100" s="74">
        <f t="shared" si="11"/>
        <v>4932.3999999999996</v>
      </c>
      <c r="J100" s="74">
        <f t="shared" si="11"/>
        <v>5337.6</v>
      </c>
    </row>
    <row r="101" spans="1:10" s="190" customFormat="1" ht="20.100000000000001" customHeight="1">
      <c r="A101" s="8" t="s">
        <v>93</v>
      </c>
      <c r="B101" s="100">
        <v>1250</v>
      </c>
      <c r="C101" s="355">
        <f>C14+C31+C62+C79+C96</f>
        <v>11987.3</v>
      </c>
      <c r="D101" s="191">
        <f>D14+D31+D62+D79+D96</f>
        <v>15450.099999999999</v>
      </c>
      <c r="E101" s="191">
        <f>E14+E31+E62+E79+E92+E94+E96</f>
        <v>15184.21</v>
      </c>
      <c r="F101" s="74">
        <f>G101+H101+I101+J101</f>
        <v>18945.7</v>
      </c>
      <c r="G101" s="74">
        <f t="shared" ref="G101:J101" si="12">G14+G31+G62+G79+G92+G94+G96</f>
        <v>4044.0000000000005</v>
      </c>
      <c r="H101" s="74">
        <f t="shared" si="12"/>
        <v>4641.3999999999996</v>
      </c>
      <c r="I101" s="74">
        <f t="shared" si="12"/>
        <v>4927.1000000000004</v>
      </c>
      <c r="J101" s="74">
        <f t="shared" si="12"/>
        <v>5333.2</v>
      </c>
    </row>
    <row r="102" spans="1:10" ht="20.100000000000001" customHeight="1">
      <c r="A102" s="392" t="s">
        <v>172</v>
      </c>
      <c r="B102" s="393"/>
      <c r="C102" s="393"/>
      <c r="D102" s="393"/>
      <c r="E102" s="393"/>
      <c r="F102" s="393"/>
      <c r="G102" s="393"/>
      <c r="H102" s="393"/>
      <c r="I102" s="393"/>
      <c r="J102" s="402"/>
    </row>
    <row r="103" spans="1:10" s="190" customFormat="1" ht="20.100000000000001" customHeight="1">
      <c r="A103" s="8" t="s">
        <v>199</v>
      </c>
      <c r="B103" s="128">
        <v>1260</v>
      </c>
      <c r="C103" s="128">
        <v>4457.8999999999996</v>
      </c>
      <c r="D103" s="81">
        <f t="shared" ref="D103:E103" si="13">D104+D105</f>
        <v>5923.2000000000007</v>
      </c>
      <c r="E103" s="81">
        <f t="shared" si="13"/>
        <v>4892.7</v>
      </c>
      <c r="F103" s="81">
        <f t="shared" ref="F103:J103" si="14">F104+F105</f>
        <v>5633.5499999999993</v>
      </c>
      <c r="G103" s="81">
        <f t="shared" si="14"/>
        <v>1196.3000000000002</v>
      </c>
      <c r="H103" s="81">
        <f t="shared" si="14"/>
        <v>1269.8000000000002</v>
      </c>
      <c r="I103" s="81">
        <f t="shared" si="14"/>
        <v>1579.4</v>
      </c>
      <c r="J103" s="81">
        <f t="shared" si="14"/>
        <v>1588.05</v>
      </c>
    </row>
    <row r="104" spans="1:10" s="190" customFormat="1" ht="37.5" customHeight="1">
      <c r="A104" s="192" t="s">
        <v>197</v>
      </c>
      <c r="B104" s="303">
        <v>1261</v>
      </c>
      <c r="C104" s="303">
        <v>2278.8000000000002</v>
      </c>
      <c r="D104" s="304">
        <v>3365.6000000000004</v>
      </c>
      <c r="E104" s="193">
        <f>E15+E26+E57+E72+E73+E56</f>
        <v>2263.7999999999997</v>
      </c>
      <c r="F104" s="232">
        <f>F15+F26+F57+F72+F73+F56</f>
        <v>2672.1499999999996</v>
      </c>
      <c r="G104" s="232">
        <f>G15+G26+G57+G72+G73+G56-6.6</f>
        <v>630.1</v>
      </c>
      <c r="H104" s="232">
        <f>H15+H26+H57+H72+H73+H56-71</f>
        <v>583.20000000000005</v>
      </c>
      <c r="I104" s="232">
        <f>I15+I26+I57+I72+I73+I56+38.8</f>
        <v>735.4</v>
      </c>
      <c r="J104" s="232">
        <f>J15+J26+J57+J72+J73+J56+38.8</f>
        <v>723.44999999999993</v>
      </c>
    </row>
    <row r="105" spans="1:10" s="190" customFormat="1" ht="20.100000000000001" customHeight="1">
      <c r="A105" s="192" t="s">
        <v>11</v>
      </c>
      <c r="B105" s="303">
        <v>1262</v>
      </c>
      <c r="C105" s="303">
        <v>2179.1</v>
      </c>
      <c r="D105" s="304">
        <v>2557.6</v>
      </c>
      <c r="E105" s="304">
        <v>2628.9</v>
      </c>
      <c r="F105" s="232">
        <f>ROUND(F16+F17+F27+F55+F70+F71+('5. Інша інформація'!J73)+0.2,1)</f>
        <v>2961.4</v>
      </c>
      <c r="G105" s="232">
        <v>566.20000000000005</v>
      </c>
      <c r="H105" s="232">
        <f>ROUND(H16+H17+H27+H55+H70+H71+33.7,1)</f>
        <v>686.6</v>
      </c>
      <c r="I105" s="232">
        <f>ROUND(I16+I17+I27+I55+I70+I71+123,1)</f>
        <v>844</v>
      </c>
      <c r="J105" s="232">
        <f>ROUND(J16+J17+J27+J55+J70+J71+105.1,1)</f>
        <v>864.6</v>
      </c>
    </row>
    <row r="106" spans="1:10" s="190" customFormat="1" ht="20.100000000000001" customHeight="1">
      <c r="A106" s="8" t="s">
        <v>2</v>
      </c>
      <c r="B106" s="128">
        <v>1270</v>
      </c>
      <c r="C106" s="366">
        <v>5302</v>
      </c>
      <c r="D106" s="263">
        <v>6961.0000000000009</v>
      </c>
      <c r="E106" s="81">
        <v>7436.7999999999993</v>
      </c>
      <c r="F106" s="239">
        <f>ROUND(F18+F39+F65+'5. Інша інформація'!K73,1)</f>
        <v>9987.1</v>
      </c>
      <c r="G106" s="239">
        <v>2133.6999999999998</v>
      </c>
      <c r="H106" s="239">
        <f>ROUND(H18+H39+H65+4.54,1)</f>
        <v>2264.3000000000002</v>
      </c>
      <c r="I106" s="239">
        <f>ROUND(I18+I39+I65+18,1)</f>
        <v>2619.5</v>
      </c>
      <c r="J106" s="239">
        <f>ROUND(J18+J39+J65+9,1)</f>
        <v>2969.6</v>
      </c>
    </row>
    <row r="107" spans="1:10" s="190" customFormat="1" ht="20.100000000000001" customHeight="1">
      <c r="A107" s="8" t="s">
        <v>3</v>
      </c>
      <c r="B107" s="128">
        <v>1280</v>
      </c>
      <c r="C107" s="366">
        <v>1145</v>
      </c>
      <c r="D107" s="263">
        <v>1510.5</v>
      </c>
      <c r="E107" s="81">
        <v>1636.1099999999997</v>
      </c>
      <c r="F107" s="239">
        <f>ROUND((F19+F40+F66+'5. Інша інформація'!M73),1)</f>
        <v>2163.6</v>
      </c>
      <c r="G107" s="239">
        <v>453.2</v>
      </c>
      <c r="H107" s="239">
        <f>ROUND((H19+H40+H66+0.97),1)</f>
        <v>480.8</v>
      </c>
      <c r="I107" s="239">
        <f>I106*0.22+0.7</f>
        <v>576.99</v>
      </c>
      <c r="J107" s="239">
        <f>J106*0.22-0.7</f>
        <v>652.61199999999997</v>
      </c>
    </row>
    <row r="108" spans="1:10" s="190" customFormat="1" ht="20.100000000000001" customHeight="1">
      <c r="A108" s="8" t="s">
        <v>4</v>
      </c>
      <c r="B108" s="128">
        <v>1290</v>
      </c>
      <c r="C108" s="366">
        <v>253</v>
      </c>
      <c r="D108" s="81">
        <v>298</v>
      </c>
      <c r="E108" s="81">
        <v>295.60000000000002</v>
      </c>
      <c r="F108" s="239">
        <f>G108+H108+I108+J108</f>
        <v>239.8</v>
      </c>
      <c r="G108" s="275">
        <f>G21+G41+G67</f>
        <v>61</v>
      </c>
      <c r="H108" s="239">
        <f>H21+H41+H67</f>
        <v>37</v>
      </c>
      <c r="I108" s="239">
        <f>I21+I41+I67</f>
        <v>71.3</v>
      </c>
      <c r="J108" s="239">
        <f>J21+J41+J67</f>
        <v>70.5</v>
      </c>
    </row>
    <row r="109" spans="1:10" s="190" customFormat="1" ht="20.100000000000001" customHeight="1">
      <c r="A109" s="8" t="s">
        <v>12</v>
      </c>
      <c r="B109" s="128">
        <v>1300</v>
      </c>
      <c r="C109" s="366">
        <v>823.5</v>
      </c>
      <c r="D109" s="81">
        <v>749.1</v>
      </c>
      <c r="E109" s="81">
        <v>915.80000000000007</v>
      </c>
      <c r="F109" s="239">
        <f>ROUND(F110-F103-F106-F107-F108,1)</f>
        <v>914.5</v>
      </c>
      <c r="G109" s="239">
        <f>ROUND(G110-G103-G106-G107-G108,1)-0.1</f>
        <v>196.9</v>
      </c>
      <c r="H109" s="239">
        <f>ROUND(H110-H103-H106-H107-H108,1)</f>
        <v>587.29999999999995</v>
      </c>
      <c r="I109" s="239">
        <f>ROUND(I110-I103-I106-I107-I108,1)</f>
        <v>78.7</v>
      </c>
      <c r="J109" s="239">
        <f t="shared" ref="J109" si="15">ROUND(J110-J103-J106-J107-J108,1)</f>
        <v>51.4</v>
      </c>
    </row>
    <row r="110" spans="1:10" s="5" customFormat="1" ht="24.75" customHeight="1">
      <c r="A110" s="170" t="s">
        <v>40</v>
      </c>
      <c r="B110" s="174">
        <v>1310</v>
      </c>
      <c r="C110" s="137">
        <f>C103+C106+C107+C108+C109</f>
        <v>11981.4</v>
      </c>
      <c r="D110" s="137">
        <f>D103+D106+D107+D108+D109</f>
        <v>15441.800000000001</v>
      </c>
      <c r="E110" s="173">
        <f>E103+E106+E107+E108+E109</f>
        <v>15177.01</v>
      </c>
      <c r="F110" s="173">
        <f>ROUND((F101-F92-F94-F96),1)</f>
        <v>18938.5</v>
      </c>
      <c r="G110" s="173">
        <f>ROUND((G101-G92-G94-G96),1)</f>
        <v>4041.2</v>
      </c>
      <c r="H110" s="173">
        <f>ROUND((H101-H92-H94-H96),1)</f>
        <v>4639.2</v>
      </c>
      <c r="I110" s="173">
        <f>ROUND((I101-I92-I94-I96),1)</f>
        <v>4925.8999999999996</v>
      </c>
      <c r="J110" s="173">
        <f t="shared" ref="J110" si="16">ROUND((J101-J92-J94-J96),1)</f>
        <v>5332.2</v>
      </c>
    </row>
    <row r="111" spans="1:10" ht="43.5" customHeight="1">
      <c r="A111" s="222" t="s">
        <v>363</v>
      </c>
      <c r="B111" s="208"/>
      <c r="C111" s="208"/>
      <c r="D111" s="401"/>
      <c r="E111" s="401"/>
      <c r="F111" s="401"/>
      <c r="G111" s="398" t="s">
        <v>317</v>
      </c>
      <c r="H111" s="398"/>
      <c r="I111" s="398"/>
      <c r="J111" s="276"/>
    </row>
    <row r="112" spans="1:10" s="2" customFormat="1" ht="20.100000000000001" customHeight="1">
      <c r="A112" s="259" t="s">
        <v>386</v>
      </c>
      <c r="B112" s="116"/>
      <c r="C112" s="116"/>
      <c r="D112" s="400" t="s">
        <v>387</v>
      </c>
      <c r="E112" s="400"/>
      <c r="F112" s="400"/>
      <c r="G112" s="399" t="s">
        <v>81</v>
      </c>
      <c r="H112" s="399"/>
      <c r="I112" s="399"/>
      <c r="J112" s="272"/>
    </row>
    <row r="113" spans="1:10" ht="20.100000000000001" customHeight="1">
      <c r="A113" s="22"/>
      <c r="D113" s="26"/>
      <c r="E113" s="26"/>
      <c r="F113" s="23"/>
      <c r="G113" s="23"/>
      <c r="H113" s="23"/>
      <c r="I113" s="23"/>
      <c r="J113" s="23"/>
    </row>
    <row r="114" spans="1:10">
      <c r="A114" s="22"/>
      <c r="D114" s="26"/>
      <c r="E114" s="26"/>
      <c r="F114" s="23"/>
      <c r="G114" s="23"/>
      <c r="H114" s="23"/>
      <c r="I114" s="23"/>
      <c r="J114" s="23"/>
    </row>
    <row r="115" spans="1:10">
      <c r="A115" s="22"/>
      <c r="D115" s="26"/>
      <c r="E115" s="26"/>
      <c r="F115" s="23"/>
      <c r="G115" s="23"/>
      <c r="H115" s="23"/>
      <c r="I115" s="23"/>
      <c r="J115" s="23"/>
    </row>
    <row r="116" spans="1:10">
      <c r="A116" s="22"/>
      <c r="D116" s="26"/>
      <c r="E116" s="26"/>
      <c r="F116" s="212"/>
      <c r="G116" s="212"/>
      <c r="H116" s="212"/>
      <c r="I116" s="212"/>
      <c r="J116" s="212"/>
    </row>
    <row r="117" spans="1:10">
      <c r="A117" s="22"/>
      <c r="D117" s="26"/>
      <c r="E117" s="26"/>
      <c r="F117" s="212"/>
      <c r="G117" s="212"/>
      <c r="H117" s="212"/>
      <c r="I117" s="212"/>
      <c r="J117" s="212"/>
    </row>
    <row r="118" spans="1:10">
      <c r="A118" s="22"/>
      <c r="D118" s="26"/>
      <c r="E118" s="26"/>
      <c r="F118" s="23"/>
      <c r="G118" s="23"/>
      <c r="H118" s="23"/>
      <c r="I118" s="23"/>
      <c r="J118" s="23"/>
    </row>
    <row r="119" spans="1:10">
      <c r="A119" s="22"/>
      <c r="D119" s="26"/>
      <c r="E119" s="26"/>
      <c r="F119" s="23"/>
      <c r="G119" s="23"/>
      <c r="H119" s="23"/>
      <c r="I119" s="23"/>
      <c r="J119" s="23"/>
    </row>
    <row r="120" spans="1:10">
      <c r="A120" s="22"/>
      <c r="D120" s="26"/>
      <c r="E120" s="26"/>
      <c r="F120" s="23"/>
      <c r="G120" s="23"/>
      <c r="H120" s="23"/>
      <c r="I120" s="23"/>
      <c r="J120" s="23"/>
    </row>
    <row r="121" spans="1:10">
      <c r="A121" s="22"/>
      <c r="D121" s="26"/>
      <c r="E121" s="26"/>
      <c r="F121" s="23"/>
      <c r="G121" s="23"/>
      <c r="H121" s="23"/>
      <c r="I121" s="23"/>
      <c r="J121" s="23"/>
    </row>
    <row r="122" spans="1:10">
      <c r="A122" s="22"/>
      <c r="D122" s="26"/>
      <c r="E122" s="26"/>
      <c r="F122" s="23"/>
      <c r="G122" s="23"/>
      <c r="H122" s="23"/>
      <c r="I122" s="23"/>
      <c r="J122" s="23"/>
    </row>
    <row r="123" spans="1:10">
      <c r="A123" s="22"/>
      <c r="D123" s="26"/>
      <c r="E123" s="26"/>
      <c r="F123" s="23"/>
      <c r="G123" s="23"/>
      <c r="H123" s="23"/>
      <c r="I123" s="23"/>
      <c r="J123" s="23"/>
    </row>
    <row r="124" spans="1:10">
      <c r="A124" s="22"/>
      <c r="D124" s="26"/>
      <c r="E124" s="26"/>
      <c r="F124" s="23"/>
      <c r="G124" s="23"/>
      <c r="H124" s="23"/>
      <c r="I124" s="23"/>
      <c r="J124" s="23"/>
    </row>
    <row r="125" spans="1:10">
      <c r="A125" s="22"/>
      <c r="D125" s="26"/>
      <c r="E125" s="26"/>
      <c r="F125" s="23"/>
      <c r="G125" s="23"/>
      <c r="H125" s="23"/>
      <c r="I125" s="23"/>
      <c r="J125" s="23"/>
    </row>
    <row r="126" spans="1:10">
      <c r="A126" s="22"/>
      <c r="D126" s="26"/>
      <c r="E126" s="26"/>
      <c r="F126" s="213"/>
      <c r="G126" s="213"/>
      <c r="H126" s="213"/>
      <c r="I126" s="213"/>
      <c r="J126" s="213"/>
    </row>
    <row r="127" spans="1:10">
      <c r="A127" s="22"/>
      <c r="D127" s="26"/>
      <c r="E127" s="214"/>
      <c r="F127" s="213"/>
      <c r="G127" s="213"/>
      <c r="H127" s="213"/>
      <c r="I127" s="213"/>
      <c r="J127" s="213"/>
    </row>
    <row r="128" spans="1:10">
      <c r="A128" s="22"/>
      <c r="D128" s="26"/>
      <c r="E128" s="214"/>
      <c r="F128" s="213"/>
      <c r="G128" s="213"/>
      <c r="H128" s="213"/>
      <c r="I128" s="213"/>
      <c r="J128" s="213"/>
    </row>
    <row r="129" spans="1:10">
      <c r="A129" s="22"/>
      <c r="D129" s="26"/>
      <c r="E129" s="214"/>
      <c r="F129" s="213"/>
      <c r="G129" s="213"/>
      <c r="H129" s="213"/>
      <c r="I129" s="213"/>
      <c r="J129" s="213"/>
    </row>
    <row r="130" spans="1:10">
      <c r="A130" s="22"/>
      <c r="D130" s="26"/>
      <c r="E130" s="26"/>
      <c r="F130" s="23"/>
      <c r="G130" s="23"/>
      <c r="H130" s="23"/>
      <c r="I130" s="23"/>
      <c r="J130" s="23"/>
    </row>
    <row r="131" spans="1:10">
      <c r="A131" s="22"/>
      <c r="D131" s="26"/>
      <c r="E131" s="26"/>
      <c r="F131" s="23"/>
      <c r="G131" s="23"/>
      <c r="H131" s="23"/>
      <c r="I131" s="23"/>
      <c r="J131" s="23"/>
    </row>
    <row r="132" spans="1:10">
      <c r="A132" s="22"/>
      <c r="D132" s="26"/>
      <c r="E132" s="26"/>
      <c r="F132" s="23"/>
      <c r="G132" s="23"/>
      <c r="H132" s="23"/>
      <c r="I132" s="23"/>
      <c r="J132" s="23"/>
    </row>
    <row r="133" spans="1:10">
      <c r="A133" s="22"/>
      <c r="D133" s="26"/>
      <c r="E133" s="26"/>
      <c r="F133" s="23"/>
      <c r="G133" s="23"/>
      <c r="H133" s="23"/>
      <c r="I133" s="23"/>
      <c r="J133" s="23"/>
    </row>
    <row r="134" spans="1:10">
      <c r="A134" s="22"/>
      <c r="D134" s="26"/>
      <c r="E134" s="26"/>
      <c r="F134" s="23"/>
      <c r="G134" s="23"/>
      <c r="H134" s="23"/>
      <c r="I134" s="23"/>
      <c r="J134" s="23"/>
    </row>
    <row r="135" spans="1:10">
      <c r="A135" s="22"/>
      <c r="D135" s="26"/>
      <c r="E135" s="26"/>
      <c r="F135" s="23"/>
      <c r="G135" s="23"/>
      <c r="H135" s="23"/>
      <c r="I135" s="23"/>
      <c r="J135" s="23"/>
    </row>
    <row r="136" spans="1:10">
      <c r="A136" s="22"/>
      <c r="D136" s="26"/>
      <c r="E136" s="26"/>
      <c r="F136" s="23"/>
      <c r="G136" s="23"/>
      <c r="H136" s="23"/>
      <c r="I136" s="23"/>
      <c r="J136" s="23"/>
    </row>
    <row r="137" spans="1:10">
      <c r="A137" s="22"/>
      <c r="D137" s="26"/>
      <c r="E137" s="26"/>
      <c r="F137" s="23"/>
      <c r="G137" s="23"/>
      <c r="H137" s="23"/>
      <c r="I137" s="23"/>
      <c r="J137" s="23"/>
    </row>
    <row r="138" spans="1:10">
      <c r="A138" s="22"/>
      <c r="D138" s="26"/>
      <c r="E138" s="26"/>
      <c r="F138" s="23"/>
      <c r="G138" s="23"/>
      <c r="H138" s="23"/>
      <c r="I138" s="23"/>
      <c r="J138" s="23"/>
    </row>
    <row r="139" spans="1:10">
      <c r="A139" s="22"/>
      <c r="D139" s="26"/>
      <c r="E139" s="26"/>
      <c r="F139" s="23"/>
      <c r="G139" s="23"/>
      <c r="H139" s="23"/>
      <c r="I139" s="23"/>
      <c r="J139" s="23"/>
    </row>
    <row r="140" spans="1:10">
      <c r="A140" s="22"/>
      <c r="D140" s="26"/>
      <c r="E140" s="26"/>
      <c r="F140" s="23"/>
      <c r="G140" s="23"/>
      <c r="H140" s="23"/>
      <c r="I140" s="23"/>
      <c r="J140" s="23"/>
    </row>
    <row r="141" spans="1:10">
      <c r="A141" s="22"/>
      <c r="D141" s="26"/>
      <c r="E141" s="26"/>
      <c r="F141" s="23"/>
      <c r="G141" s="23"/>
      <c r="H141" s="23"/>
      <c r="I141" s="23"/>
      <c r="J141" s="23"/>
    </row>
    <row r="142" spans="1:10">
      <c r="A142" s="22"/>
      <c r="D142" s="26"/>
      <c r="E142" s="26"/>
      <c r="F142" s="23"/>
      <c r="G142" s="23"/>
      <c r="H142" s="23"/>
      <c r="I142" s="23"/>
      <c r="J142" s="23"/>
    </row>
    <row r="143" spans="1:10">
      <c r="A143" s="22"/>
      <c r="D143" s="26"/>
      <c r="E143" s="26"/>
      <c r="F143" s="23"/>
      <c r="G143" s="23"/>
      <c r="H143" s="23"/>
      <c r="I143" s="23"/>
      <c r="J143" s="23"/>
    </row>
    <row r="144" spans="1:10">
      <c r="A144" s="22"/>
      <c r="D144" s="26"/>
      <c r="E144" s="26"/>
      <c r="F144" s="23"/>
      <c r="G144" s="23"/>
      <c r="H144" s="23"/>
      <c r="I144" s="23"/>
      <c r="J144" s="23"/>
    </row>
    <row r="145" spans="1:10">
      <c r="A145" s="22"/>
      <c r="D145" s="26"/>
      <c r="E145" s="26"/>
      <c r="F145" s="23"/>
      <c r="G145" s="23"/>
      <c r="H145" s="23"/>
      <c r="I145" s="23"/>
      <c r="J145" s="23"/>
    </row>
    <row r="146" spans="1:10">
      <c r="A146" s="22"/>
      <c r="D146" s="26"/>
      <c r="E146" s="26"/>
      <c r="F146" s="23"/>
      <c r="G146" s="23"/>
      <c r="H146" s="23"/>
      <c r="I146" s="23"/>
      <c r="J146" s="23"/>
    </row>
    <row r="147" spans="1:10">
      <c r="A147" s="22"/>
      <c r="D147" s="26"/>
      <c r="E147" s="26"/>
      <c r="F147" s="23"/>
      <c r="G147" s="23"/>
      <c r="H147" s="23"/>
      <c r="I147" s="23"/>
      <c r="J147" s="23"/>
    </row>
    <row r="148" spans="1:10">
      <c r="A148" s="22"/>
      <c r="D148" s="26"/>
      <c r="E148" s="26"/>
      <c r="F148" s="23"/>
      <c r="G148" s="23"/>
      <c r="H148" s="23"/>
      <c r="I148" s="23"/>
      <c r="J148" s="23"/>
    </row>
    <row r="149" spans="1:10">
      <c r="A149" s="22"/>
      <c r="D149" s="26"/>
      <c r="E149" s="26"/>
      <c r="F149" s="23"/>
      <c r="G149" s="23"/>
      <c r="H149" s="23"/>
      <c r="I149" s="23"/>
      <c r="J149" s="23"/>
    </row>
    <row r="150" spans="1:10">
      <c r="A150" s="22"/>
      <c r="D150" s="26"/>
      <c r="E150" s="26"/>
      <c r="F150" s="23"/>
      <c r="G150" s="23"/>
      <c r="H150" s="23"/>
      <c r="I150" s="23"/>
      <c r="J150" s="23"/>
    </row>
    <row r="151" spans="1:10">
      <c r="A151" s="22"/>
      <c r="D151" s="26"/>
      <c r="E151" s="26"/>
      <c r="F151" s="23"/>
      <c r="G151" s="23"/>
      <c r="H151" s="23"/>
      <c r="I151" s="23"/>
      <c r="J151" s="23"/>
    </row>
    <row r="152" spans="1:10">
      <c r="A152" s="22"/>
      <c r="D152" s="26"/>
      <c r="E152" s="26"/>
      <c r="F152" s="23"/>
      <c r="G152" s="23"/>
      <c r="H152" s="23"/>
      <c r="I152" s="23"/>
      <c r="J152" s="23"/>
    </row>
    <row r="153" spans="1:10">
      <c r="A153" s="22"/>
      <c r="D153" s="26"/>
      <c r="E153" s="26"/>
      <c r="F153" s="23"/>
      <c r="G153" s="23"/>
      <c r="H153" s="23"/>
      <c r="I153" s="23"/>
      <c r="J153" s="23"/>
    </row>
    <row r="154" spans="1:10">
      <c r="A154" s="22"/>
      <c r="D154" s="26"/>
      <c r="E154" s="26"/>
      <c r="F154" s="23"/>
      <c r="G154" s="23"/>
      <c r="H154" s="23"/>
      <c r="I154" s="23"/>
      <c r="J154" s="23"/>
    </row>
    <row r="155" spans="1:10">
      <c r="A155" s="22"/>
      <c r="D155" s="26"/>
      <c r="E155" s="26"/>
      <c r="F155" s="23"/>
      <c r="G155" s="23"/>
      <c r="H155" s="23"/>
      <c r="I155" s="23"/>
      <c r="J155" s="23"/>
    </row>
    <row r="156" spans="1:10">
      <c r="A156" s="22"/>
      <c r="D156" s="26"/>
      <c r="E156" s="26"/>
      <c r="F156" s="23"/>
      <c r="G156" s="23"/>
      <c r="H156" s="23"/>
      <c r="I156" s="23"/>
      <c r="J156" s="23"/>
    </row>
    <row r="157" spans="1:10">
      <c r="A157" s="22"/>
      <c r="D157" s="26"/>
      <c r="E157" s="26"/>
      <c r="F157" s="23"/>
      <c r="G157" s="23"/>
      <c r="H157" s="23"/>
      <c r="I157" s="23"/>
      <c r="J157" s="23"/>
    </row>
    <row r="158" spans="1:10">
      <c r="A158" s="22"/>
      <c r="D158" s="26"/>
      <c r="E158" s="26"/>
      <c r="F158" s="23"/>
      <c r="G158" s="23"/>
      <c r="H158" s="23"/>
      <c r="I158" s="23"/>
      <c r="J158" s="23"/>
    </row>
    <row r="159" spans="1:10">
      <c r="A159" s="22"/>
      <c r="D159" s="26"/>
      <c r="E159" s="26"/>
      <c r="F159" s="23"/>
      <c r="G159" s="23"/>
      <c r="H159" s="23"/>
      <c r="I159" s="23"/>
      <c r="J159" s="23"/>
    </row>
    <row r="160" spans="1:10">
      <c r="A160" s="22"/>
      <c r="D160" s="26"/>
      <c r="E160" s="26"/>
      <c r="F160" s="23"/>
      <c r="G160" s="23"/>
      <c r="H160" s="23"/>
      <c r="I160" s="23"/>
      <c r="J160" s="23"/>
    </row>
    <row r="161" spans="1:10">
      <c r="A161" s="22"/>
      <c r="D161" s="26"/>
      <c r="E161" s="26"/>
      <c r="F161" s="23"/>
      <c r="G161" s="23"/>
      <c r="H161" s="23"/>
      <c r="I161" s="23"/>
      <c r="J161" s="23"/>
    </row>
    <row r="162" spans="1:10">
      <c r="A162" s="22"/>
      <c r="D162" s="26"/>
      <c r="E162" s="26"/>
      <c r="F162" s="23"/>
      <c r="G162" s="23"/>
      <c r="H162" s="23"/>
      <c r="I162" s="23"/>
      <c r="J162" s="23"/>
    </row>
    <row r="163" spans="1:10">
      <c r="A163" s="22"/>
      <c r="D163" s="26"/>
      <c r="E163" s="26"/>
      <c r="F163" s="23"/>
      <c r="G163" s="23"/>
      <c r="H163" s="23"/>
      <c r="I163" s="23"/>
      <c r="J163" s="23"/>
    </row>
    <row r="164" spans="1:10">
      <c r="A164" s="22"/>
      <c r="D164" s="26"/>
      <c r="E164" s="26"/>
      <c r="F164" s="23"/>
      <c r="G164" s="23"/>
      <c r="H164" s="23"/>
      <c r="I164" s="23"/>
      <c r="J164" s="23"/>
    </row>
    <row r="165" spans="1:10">
      <c r="A165" s="22"/>
      <c r="D165" s="26"/>
      <c r="E165" s="26"/>
      <c r="F165" s="23"/>
      <c r="G165" s="23"/>
      <c r="H165" s="23"/>
      <c r="I165" s="23"/>
      <c r="J165" s="23"/>
    </row>
    <row r="166" spans="1:10">
      <c r="A166" s="22"/>
      <c r="D166" s="26"/>
      <c r="E166" s="26"/>
      <c r="F166" s="23"/>
      <c r="G166" s="23"/>
      <c r="H166" s="23"/>
      <c r="I166" s="23"/>
      <c r="J166" s="23"/>
    </row>
    <row r="167" spans="1:10">
      <c r="A167" s="22"/>
      <c r="D167" s="26"/>
      <c r="E167" s="26"/>
      <c r="F167" s="23"/>
      <c r="G167" s="23"/>
      <c r="H167" s="23"/>
      <c r="I167" s="23"/>
      <c r="J167" s="23"/>
    </row>
    <row r="168" spans="1:10">
      <c r="A168" s="22"/>
      <c r="D168" s="26"/>
      <c r="E168" s="26"/>
      <c r="F168" s="23"/>
      <c r="G168" s="23"/>
      <c r="H168" s="23"/>
      <c r="I168" s="23"/>
      <c r="J168" s="23"/>
    </row>
    <row r="169" spans="1:10">
      <c r="A169" s="22"/>
      <c r="D169" s="26"/>
      <c r="E169" s="26"/>
      <c r="F169" s="23"/>
      <c r="G169" s="23"/>
      <c r="H169" s="23"/>
      <c r="I169" s="23"/>
      <c r="J169" s="23"/>
    </row>
    <row r="170" spans="1:10">
      <c r="A170" s="22"/>
      <c r="D170" s="26"/>
      <c r="E170" s="26"/>
      <c r="F170" s="23"/>
      <c r="G170" s="23"/>
      <c r="H170" s="23"/>
      <c r="I170" s="23"/>
      <c r="J170" s="23"/>
    </row>
    <row r="171" spans="1:10">
      <c r="A171" s="35"/>
    </row>
    <row r="172" spans="1:10">
      <c r="A172" s="35"/>
    </row>
    <row r="173" spans="1:10">
      <c r="A173" s="35"/>
    </row>
    <row r="174" spans="1:10">
      <c r="A174" s="35"/>
    </row>
    <row r="175" spans="1:10">
      <c r="A175" s="35"/>
    </row>
    <row r="176" spans="1:10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  <row r="272" spans="1:1">
      <c r="A272" s="35"/>
    </row>
    <row r="273" spans="1:1">
      <c r="A273" s="35"/>
    </row>
    <row r="274" spans="1:1">
      <c r="A274" s="35"/>
    </row>
    <row r="275" spans="1:1">
      <c r="A275" s="35"/>
    </row>
    <row r="276" spans="1:1">
      <c r="A276" s="35"/>
    </row>
    <row r="277" spans="1:1">
      <c r="A277" s="35"/>
    </row>
    <row r="278" spans="1:1">
      <c r="A278" s="35"/>
    </row>
    <row r="279" spans="1:1">
      <c r="A279" s="35"/>
    </row>
    <row r="280" spans="1:1">
      <c r="A280" s="35"/>
    </row>
    <row r="281" spans="1:1">
      <c r="A281" s="35"/>
    </row>
    <row r="282" spans="1:1">
      <c r="A282" s="35"/>
    </row>
    <row r="283" spans="1:1">
      <c r="A283" s="35"/>
    </row>
    <row r="284" spans="1:1">
      <c r="A284" s="35"/>
    </row>
    <row r="285" spans="1:1">
      <c r="A285" s="35"/>
    </row>
    <row r="286" spans="1:1">
      <c r="A286" s="35"/>
    </row>
    <row r="287" spans="1:1">
      <c r="A287" s="35"/>
    </row>
    <row r="288" spans="1:1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</sheetData>
  <mergeCells count="15">
    <mergeCell ref="G111:I111"/>
    <mergeCell ref="G112:I112"/>
    <mergeCell ref="D112:F112"/>
    <mergeCell ref="D111:F111"/>
    <mergeCell ref="A102:J102"/>
    <mergeCell ref="A1:J1"/>
    <mergeCell ref="A6:J6"/>
    <mergeCell ref="A99:J99"/>
    <mergeCell ref="F3:F4"/>
    <mergeCell ref="G3:J3"/>
    <mergeCell ref="D3:D4"/>
    <mergeCell ref="B3:B4"/>
    <mergeCell ref="A3:A4"/>
    <mergeCell ref="E3:E4"/>
    <mergeCell ref="C3:C4"/>
  </mergeCells>
  <phoneticPr fontId="0" type="noConversion"/>
  <pageMargins left="0.68" right="0.19685039370078741" top="0.63" bottom="0.38" header="0.28999999999999998" footer="0.11811023622047245"/>
  <pageSetup paperSize="9" scale="55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  <rowBreaks count="1" manualBreakCount="1">
    <brk id="9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2:L193"/>
  <sheetViews>
    <sheetView view="pageBreakPreview" zoomScale="50" zoomScaleNormal="75" zoomScaleSheetLayoutView="50" workbookViewId="0">
      <selection activeCell="E38" sqref="E38"/>
    </sheetView>
  </sheetViews>
  <sheetFormatPr defaultColWidth="77.85546875" defaultRowHeight="18.75" outlineLevelRow="1"/>
  <cols>
    <col min="1" max="1" width="42" style="30" customWidth="1"/>
    <col min="2" max="3" width="10.7109375" style="33" customWidth="1"/>
    <col min="4" max="4" width="12.7109375" style="33" customWidth="1"/>
    <col min="5" max="5" width="14.42578125" style="33" customWidth="1"/>
    <col min="6" max="6" width="14" style="33" customWidth="1"/>
    <col min="7" max="10" width="12.28515625" style="33" customWidth="1"/>
    <col min="11" max="11" width="10" style="30" customWidth="1"/>
    <col min="12" max="12" width="13" style="30" customWidth="1"/>
    <col min="13" max="255" width="9.140625" style="30" customWidth="1"/>
    <col min="256" max="16384" width="77.85546875" style="30"/>
  </cols>
  <sheetData>
    <row r="2" spans="1:10">
      <c r="A2" s="403" t="s">
        <v>119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outlineLevel="1">
      <c r="A3" s="29"/>
      <c r="B3" s="38"/>
      <c r="C3" s="38"/>
      <c r="D3" s="29"/>
      <c r="E3" s="29"/>
      <c r="F3" s="29"/>
      <c r="G3" s="29"/>
      <c r="H3" s="29"/>
      <c r="I3" s="29"/>
      <c r="J3" s="29"/>
    </row>
    <row r="4" spans="1:10" ht="23.25" customHeight="1">
      <c r="A4" s="390" t="s">
        <v>182</v>
      </c>
      <c r="B4" s="404" t="s">
        <v>5</v>
      </c>
      <c r="C4" s="388" t="s">
        <v>409</v>
      </c>
      <c r="D4" s="388" t="s">
        <v>379</v>
      </c>
      <c r="E4" s="388" t="s">
        <v>394</v>
      </c>
      <c r="F4" s="405" t="s">
        <v>396</v>
      </c>
      <c r="G4" s="407" t="s">
        <v>264</v>
      </c>
      <c r="H4" s="408"/>
      <c r="I4" s="408"/>
      <c r="J4" s="409"/>
    </row>
    <row r="5" spans="1:10" ht="108.75" customHeight="1">
      <c r="A5" s="390"/>
      <c r="B5" s="404"/>
      <c r="C5" s="389"/>
      <c r="D5" s="389"/>
      <c r="E5" s="389"/>
      <c r="F5" s="406"/>
      <c r="G5" s="313" t="s">
        <v>144</v>
      </c>
      <c r="H5" s="313" t="s">
        <v>145</v>
      </c>
      <c r="I5" s="313" t="s">
        <v>146</v>
      </c>
      <c r="J5" s="313" t="s">
        <v>55</v>
      </c>
    </row>
    <row r="6" spans="1:10" ht="18" customHeight="1">
      <c r="A6" s="36">
        <v>1</v>
      </c>
      <c r="B6" s="37">
        <v>2</v>
      </c>
      <c r="C6" s="36">
        <v>3</v>
      </c>
      <c r="D6" s="37">
        <v>4</v>
      </c>
      <c r="E6" s="36">
        <v>5</v>
      </c>
      <c r="F6" s="37">
        <v>6</v>
      </c>
      <c r="G6" s="36">
        <v>7</v>
      </c>
      <c r="H6" s="37">
        <v>8</v>
      </c>
      <c r="I6" s="36">
        <v>9</v>
      </c>
      <c r="J6" s="37">
        <v>10</v>
      </c>
    </row>
    <row r="7" spans="1:10" ht="24.95" customHeight="1">
      <c r="A7" s="410" t="s">
        <v>116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0" ht="56.25" customHeight="1">
      <c r="A8" s="31" t="s">
        <v>42</v>
      </c>
      <c r="B8" s="7">
        <v>2000</v>
      </c>
      <c r="C8" s="87">
        <v>201</v>
      </c>
      <c r="D8" s="79">
        <v>224</v>
      </c>
      <c r="E8" s="79">
        <v>216.3</v>
      </c>
      <c r="F8" s="79">
        <f>D16</f>
        <v>254</v>
      </c>
      <c r="G8" s="79">
        <f>F8</f>
        <v>254</v>
      </c>
      <c r="H8" s="79">
        <f>G16</f>
        <v>265</v>
      </c>
      <c r="I8" s="79">
        <f>H16</f>
        <v>271</v>
      </c>
      <c r="J8" s="79">
        <f>I16</f>
        <v>278</v>
      </c>
    </row>
    <row r="9" spans="1:10" ht="40.5" customHeight="1">
      <c r="A9" s="31" t="s">
        <v>245</v>
      </c>
      <c r="B9" s="7">
        <v>2010</v>
      </c>
      <c r="C9" s="344"/>
      <c r="D9" s="82"/>
      <c r="E9" s="82"/>
      <c r="F9" s="82"/>
      <c r="G9" s="82"/>
      <c r="H9" s="82"/>
      <c r="I9" s="82"/>
      <c r="J9" s="82"/>
    </row>
    <row r="10" spans="1:10" ht="20.100000000000001" customHeight="1">
      <c r="A10" s="8" t="s">
        <v>147</v>
      </c>
      <c r="B10" s="7">
        <v>2020</v>
      </c>
      <c r="C10" s="344"/>
      <c r="D10" s="82"/>
      <c r="E10" s="82"/>
      <c r="F10" s="82"/>
      <c r="G10" s="82"/>
      <c r="H10" s="82"/>
      <c r="I10" s="82"/>
      <c r="J10" s="82"/>
    </row>
    <row r="11" spans="1:10" s="32" customFormat="1" ht="20.100000000000001" customHeight="1">
      <c r="A11" s="31" t="s">
        <v>52</v>
      </c>
      <c r="B11" s="7">
        <v>2030</v>
      </c>
      <c r="C11" s="344"/>
      <c r="D11" s="82"/>
      <c r="E11" s="82"/>
      <c r="F11" s="82"/>
      <c r="G11" s="82"/>
      <c r="H11" s="82"/>
      <c r="I11" s="82"/>
      <c r="J11" s="82"/>
    </row>
    <row r="12" spans="1:10" ht="37.5" customHeight="1">
      <c r="A12" s="31" t="s">
        <v>104</v>
      </c>
      <c r="B12" s="7">
        <v>2031</v>
      </c>
      <c r="C12" s="344"/>
      <c r="D12" s="82"/>
      <c r="E12" s="82"/>
      <c r="F12" s="82"/>
      <c r="G12" s="82"/>
      <c r="H12" s="82"/>
      <c r="I12" s="82"/>
      <c r="J12" s="82"/>
    </row>
    <row r="13" spans="1:10" ht="20.100000000000001" customHeight="1">
      <c r="A13" s="31" t="s">
        <v>9</v>
      </c>
      <c r="B13" s="7">
        <v>2040</v>
      </c>
      <c r="C13" s="344"/>
      <c r="D13" s="83"/>
      <c r="E13" s="83"/>
      <c r="F13" s="82"/>
      <c r="G13" s="83"/>
      <c r="H13" s="83"/>
      <c r="I13" s="83"/>
      <c r="J13" s="83"/>
    </row>
    <row r="14" spans="1:10" ht="20.100000000000001" customHeight="1">
      <c r="A14" s="31" t="s">
        <v>91</v>
      </c>
      <c r="B14" s="7">
        <v>2050</v>
      </c>
      <c r="C14" s="344"/>
      <c r="D14" s="82"/>
      <c r="E14" s="82"/>
      <c r="F14" s="82"/>
      <c r="G14" s="82"/>
      <c r="H14" s="82"/>
      <c r="I14" s="82"/>
      <c r="J14" s="82"/>
    </row>
    <row r="15" spans="1:10" ht="20.100000000000001" customHeight="1">
      <c r="A15" s="31" t="s">
        <v>92</v>
      </c>
      <c r="B15" s="7">
        <v>2060</v>
      </c>
      <c r="C15" s="344"/>
      <c r="D15" s="82"/>
      <c r="E15" s="82"/>
      <c r="F15" s="82"/>
      <c r="G15" s="82"/>
      <c r="H15" s="82"/>
      <c r="I15" s="82"/>
      <c r="J15" s="82"/>
    </row>
    <row r="16" spans="1:10" ht="60.75" customHeight="1">
      <c r="A16" s="31" t="s">
        <v>43</v>
      </c>
      <c r="B16" s="7">
        <v>2070</v>
      </c>
      <c r="C16" s="87">
        <v>224</v>
      </c>
      <c r="D16" s="82">
        <v>254</v>
      </c>
      <c r="E16" s="82">
        <v>256.3</v>
      </c>
      <c r="F16" s="82">
        <f>J16</f>
        <v>286</v>
      </c>
      <c r="G16" s="82">
        <v>265</v>
      </c>
      <c r="H16" s="82">
        <v>271</v>
      </c>
      <c r="I16" s="82">
        <v>278</v>
      </c>
      <c r="J16" s="82">
        <v>286</v>
      </c>
    </row>
    <row r="17" spans="1:10" ht="20.100000000000001" customHeight="1">
      <c r="A17" s="410"/>
      <c r="B17" s="410"/>
      <c r="C17" s="410"/>
      <c r="D17" s="410"/>
      <c r="E17" s="410"/>
      <c r="F17" s="410"/>
      <c r="G17" s="410"/>
      <c r="H17" s="410"/>
      <c r="I17" s="410"/>
      <c r="J17" s="410"/>
    </row>
    <row r="18" spans="1:10" ht="40.5" customHeight="1">
      <c r="A18" s="31" t="s">
        <v>245</v>
      </c>
      <c r="B18" s="7">
        <v>2100</v>
      </c>
      <c r="C18" s="344">
        <v>4</v>
      </c>
      <c r="D18" s="82">
        <f>'1.Фінансовий результат'!D98*0.15</f>
        <v>5.2649999999998922</v>
      </c>
      <c r="E18" s="82">
        <f>'1.Фінансовий результат'!E98*0.15</f>
        <v>4.918500000000229</v>
      </c>
      <c r="F18" s="82">
        <f>G18+H18+I18+J18</f>
        <v>5.3</v>
      </c>
      <c r="G18" s="82">
        <f>'1.Фінансовий результат'!G96-0.8</f>
        <v>1.9999999999999998</v>
      </c>
      <c r="H18" s="82">
        <f>'1.Фінансовий результат'!H96-1.1</f>
        <v>1.1000000000000001</v>
      </c>
      <c r="I18" s="82">
        <f>'1.Фінансовий результат'!I96</f>
        <v>1.2</v>
      </c>
      <c r="J18" s="82">
        <f>'1.Фінансовий результат'!J96</f>
        <v>1</v>
      </c>
    </row>
    <row r="19" spans="1:10" s="32" customFormat="1" ht="20.100000000000001" customHeight="1">
      <c r="A19" s="31" t="s">
        <v>118</v>
      </c>
      <c r="B19" s="37">
        <v>2110</v>
      </c>
      <c r="C19" s="37">
        <v>6</v>
      </c>
      <c r="D19" s="82">
        <f>'1.Фінансовий результат'!D96</f>
        <v>7.8</v>
      </c>
      <c r="E19" s="82">
        <f>'1.Фінансовий результат'!E96</f>
        <v>7.2</v>
      </c>
      <c r="F19" s="82">
        <f>'1.Фінансовий результат'!F96</f>
        <v>7.2</v>
      </c>
      <c r="G19" s="82">
        <f>'1.Фінансовий результат'!G96</f>
        <v>2.8</v>
      </c>
      <c r="H19" s="82">
        <f>'1.Фінансовий результат'!H96</f>
        <v>2.2000000000000002</v>
      </c>
      <c r="I19" s="82">
        <f>'1.Фінансовий результат'!I96</f>
        <v>1.2</v>
      </c>
      <c r="J19" s="82">
        <f>'1.Фінансовий результат'!J96</f>
        <v>1</v>
      </c>
    </row>
    <row r="20" spans="1:10" ht="83.25" customHeight="1">
      <c r="A20" s="31" t="s">
        <v>216</v>
      </c>
      <c r="B20" s="37">
        <v>2120</v>
      </c>
      <c r="C20" s="37">
        <v>59.7</v>
      </c>
      <c r="D20" s="82">
        <v>45</v>
      </c>
      <c r="E20" s="82">
        <f>'1.Фінансовий результат'!E11*0.282</f>
        <v>95.710799999999978</v>
      </c>
      <c r="F20" s="82">
        <f>G20+H20+I20+J20</f>
        <v>58</v>
      </c>
      <c r="G20" s="302">
        <v>22</v>
      </c>
      <c r="H20" s="302">
        <f>48-G20</f>
        <v>26</v>
      </c>
      <c r="I20" s="82">
        <v>5</v>
      </c>
      <c r="J20" s="82">
        <v>5</v>
      </c>
    </row>
    <row r="21" spans="1:10" ht="81" customHeight="1">
      <c r="A21" s="31" t="s">
        <v>217</v>
      </c>
      <c r="B21" s="37">
        <v>2130</v>
      </c>
      <c r="C21" s="37"/>
      <c r="D21" s="82"/>
      <c r="E21" s="82"/>
      <c r="F21" s="82"/>
      <c r="G21" s="82"/>
      <c r="H21" s="82"/>
      <c r="I21" s="82"/>
      <c r="J21" s="82"/>
    </row>
    <row r="22" spans="1:10" s="34" customFormat="1" ht="77.25" customHeight="1">
      <c r="A22" s="40" t="s">
        <v>176</v>
      </c>
      <c r="B22" s="47">
        <v>2140</v>
      </c>
      <c r="C22" s="79">
        <f t="shared" ref="C22:I22" si="0">C26+C31</f>
        <v>1325.5</v>
      </c>
      <c r="D22" s="79">
        <f t="shared" si="0"/>
        <v>1503.8364520000002</v>
      </c>
      <c r="E22" s="79">
        <f t="shared" si="0"/>
        <v>1573.9759999999997</v>
      </c>
      <c r="F22" s="79">
        <f t="shared" si="0"/>
        <v>2003.3400000000001</v>
      </c>
      <c r="G22" s="79">
        <f t="shared" si="0"/>
        <v>474.6</v>
      </c>
      <c r="H22" s="79">
        <f t="shared" si="0"/>
        <v>465.24</v>
      </c>
      <c r="I22" s="79">
        <f t="shared" si="0"/>
        <v>528.20000000000005</v>
      </c>
      <c r="J22" s="79">
        <f t="shared" ref="J22" si="1">J26+J31</f>
        <v>535.29999999999995</v>
      </c>
    </row>
    <row r="23" spans="1:10" ht="20.100000000000001" customHeight="1">
      <c r="A23" s="31" t="s">
        <v>67</v>
      </c>
      <c r="B23" s="37">
        <v>2141</v>
      </c>
      <c r="C23" s="37"/>
      <c r="D23" s="82"/>
      <c r="E23" s="82"/>
      <c r="F23" s="82"/>
      <c r="G23" s="82"/>
      <c r="H23" s="82"/>
      <c r="I23" s="82"/>
      <c r="J23" s="82"/>
    </row>
    <row r="24" spans="1:10" ht="20.100000000000001" customHeight="1">
      <c r="A24" s="31" t="s">
        <v>84</v>
      </c>
      <c r="B24" s="37">
        <v>2142</v>
      </c>
      <c r="C24" s="37"/>
      <c r="D24" s="82"/>
      <c r="E24" s="82"/>
      <c r="F24" s="82"/>
      <c r="G24" s="82"/>
      <c r="H24" s="82"/>
      <c r="I24" s="82"/>
      <c r="J24" s="82"/>
    </row>
    <row r="25" spans="1:10" ht="20.100000000000001" customHeight="1">
      <c r="A25" s="31" t="s">
        <v>80</v>
      </c>
      <c r="B25" s="37">
        <v>2143</v>
      </c>
      <c r="C25" s="37"/>
      <c r="D25" s="82"/>
      <c r="E25" s="82"/>
      <c r="F25" s="82"/>
      <c r="G25" s="82"/>
      <c r="H25" s="82"/>
      <c r="I25" s="82"/>
      <c r="J25" s="82"/>
    </row>
    <row r="26" spans="1:10" ht="20.100000000000001" customHeight="1">
      <c r="A26" s="31" t="s">
        <v>65</v>
      </c>
      <c r="B26" s="37">
        <v>2144</v>
      </c>
      <c r="C26" s="367">
        <v>1096</v>
      </c>
      <c r="D26" s="82">
        <f>'1.Фінансовий результат'!D106*0.181732</f>
        <v>1265.0364520000003</v>
      </c>
      <c r="E26" s="82">
        <f>'1.Фінансовий результат'!E106*0.18</f>
        <v>1338.6239999999998</v>
      </c>
      <c r="F26" s="82">
        <f>G26+H26+I26+J26</f>
        <v>1768.9</v>
      </c>
      <c r="G26" s="82">
        <v>414.3</v>
      </c>
      <c r="H26" s="82">
        <f>ROUND('1.Фінансовий результат'!H106*0.18+2.1,1)</f>
        <v>409.7</v>
      </c>
      <c r="I26" s="82">
        <f>ROUND('1.Фінансовий результат'!I106*0.18,1)</f>
        <v>471.5</v>
      </c>
      <c r="J26" s="82">
        <f>473.4</f>
        <v>473.4</v>
      </c>
    </row>
    <row r="27" spans="1:10" s="32" customFormat="1" ht="41.25" customHeight="1">
      <c r="A27" s="31" t="s">
        <v>131</v>
      </c>
      <c r="B27" s="37">
        <v>2145</v>
      </c>
      <c r="C27" s="37"/>
      <c r="D27" s="82"/>
      <c r="E27" s="82"/>
      <c r="F27" s="82"/>
      <c r="G27" s="82"/>
      <c r="H27" s="82"/>
      <c r="I27" s="82"/>
      <c r="J27" s="82"/>
    </row>
    <row r="28" spans="1:10" ht="95.25" customHeight="1">
      <c r="A28" s="31" t="s">
        <v>179</v>
      </c>
      <c r="B28" s="37" t="s">
        <v>166</v>
      </c>
      <c r="C28" s="37"/>
      <c r="D28" s="82"/>
      <c r="E28" s="82"/>
      <c r="F28" s="82"/>
      <c r="G28" s="82"/>
      <c r="H28" s="82"/>
      <c r="I28" s="82"/>
      <c r="J28" s="82"/>
    </row>
    <row r="29" spans="1:10" ht="20.100000000000001" customHeight="1">
      <c r="A29" s="31" t="s">
        <v>10</v>
      </c>
      <c r="B29" s="37" t="s">
        <v>167</v>
      </c>
      <c r="C29" s="37"/>
      <c r="D29" s="82"/>
      <c r="E29" s="82"/>
      <c r="F29" s="82"/>
      <c r="G29" s="82"/>
      <c r="H29" s="82"/>
      <c r="I29" s="82"/>
      <c r="J29" s="82"/>
    </row>
    <row r="30" spans="1:10" s="32" customFormat="1" ht="43.5" customHeight="1">
      <c r="A30" s="31" t="s">
        <v>94</v>
      </c>
      <c r="B30" s="37">
        <v>2146</v>
      </c>
      <c r="C30" s="37"/>
      <c r="D30" s="82"/>
      <c r="E30" s="82"/>
      <c r="F30" s="82"/>
      <c r="G30" s="82"/>
      <c r="H30" s="82"/>
      <c r="I30" s="82"/>
      <c r="J30" s="82"/>
    </row>
    <row r="31" spans="1:10" ht="20.100000000000001" customHeight="1">
      <c r="A31" s="31" t="s">
        <v>71</v>
      </c>
      <c r="B31" s="37">
        <v>2147</v>
      </c>
      <c r="C31" s="79">
        <f>C32+C33+C34+C35+C36</f>
        <v>229.5</v>
      </c>
      <c r="D31" s="79">
        <f>D32+D33+D34+D35+D36</f>
        <v>238.8</v>
      </c>
      <c r="E31" s="79">
        <f>E32+E33+E34+E35+E36</f>
        <v>235.35199999999998</v>
      </c>
      <c r="F31" s="79">
        <f t="shared" ref="F31:J31" si="2">F32+F33+F34+F35+F36+F37</f>
        <v>234.44000000000003</v>
      </c>
      <c r="G31" s="79">
        <f t="shared" si="2"/>
        <v>60.3</v>
      </c>
      <c r="H31" s="79">
        <f t="shared" si="2"/>
        <v>55.540000000000006</v>
      </c>
      <c r="I31" s="79">
        <f t="shared" si="2"/>
        <v>56.7</v>
      </c>
      <c r="J31" s="79">
        <f t="shared" si="2"/>
        <v>61.900000000000006</v>
      </c>
    </row>
    <row r="32" spans="1:10" ht="20.100000000000001" customHeight="1">
      <c r="A32" s="31" t="s">
        <v>286</v>
      </c>
      <c r="B32" s="37" t="s">
        <v>340</v>
      </c>
      <c r="C32" s="367">
        <v>4</v>
      </c>
      <c r="D32" s="82">
        <v>5.3</v>
      </c>
      <c r="E32" s="82">
        <v>2.6</v>
      </c>
      <c r="F32" s="82">
        <f t="shared" ref="F32:F37" si="3">G32+H32+I32+J32</f>
        <v>5.2</v>
      </c>
      <c r="G32" s="82">
        <v>2</v>
      </c>
      <c r="H32" s="82">
        <f>3.1-G32</f>
        <v>1.1000000000000001</v>
      </c>
      <c r="I32" s="82">
        <v>1.1000000000000001</v>
      </c>
      <c r="J32" s="82">
        <v>1</v>
      </c>
    </row>
    <row r="33" spans="1:12" ht="20.100000000000001" customHeight="1">
      <c r="A33" s="31" t="s">
        <v>287</v>
      </c>
      <c r="B33" s="37" t="s">
        <v>341</v>
      </c>
      <c r="C33" s="82">
        <f>'1.Фінансовий результат'!C86</f>
        <v>119.3</v>
      </c>
      <c r="D33" s="82">
        <f>'1.Фінансовий результат'!D86</f>
        <v>104.6</v>
      </c>
      <c r="E33" s="82">
        <f>'1.Фінансовий результат'!E86</f>
        <v>120</v>
      </c>
      <c r="F33" s="82">
        <f>'1.Фінансовий результат'!F86</f>
        <v>64.240000000000009</v>
      </c>
      <c r="G33" s="82">
        <f>'1.Фінансовий результат'!G86</f>
        <v>16</v>
      </c>
      <c r="H33" s="82">
        <f>'1.Фінансовий результат'!H86</f>
        <v>16.14</v>
      </c>
      <c r="I33" s="82">
        <f>'1.Фінансовий результат'!I86</f>
        <v>16</v>
      </c>
      <c r="J33" s="82">
        <f>'1.Фінансовий результат'!J86</f>
        <v>16.100000000000001</v>
      </c>
    </row>
    <row r="34" spans="1:12" ht="20.100000000000001" customHeight="1">
      <c r="A34" s="31" t="s">
        <v>343</v>
      </c>
      <c r="B34" s="37" t="s">
        <v>342</v>
      </c>
      <c r="C34" s="82">
        <f>'1.Фінансовий результат'!C87</f>
        <v>0.7</v>
      </c>
      <c r="D34" s="82">
        <f>'1.Фінансовий результат'!D87+0.1</f>
        <v>0.9</v>
      </c>
      <c r="E34" s="82">
        <f>'1.Фінансовий результат'!E87</f>
        <v>0.8</v>
      </c>
      <c r="F34" s="82">
        <f>'1.Фінансовий результат'!F87</f>
        <v>1.2</v>
      </c>
      <c r="G34" s="82">
        <f>'1.Фінансовий результат'!G87</f>
        <v>0.3</v>
      </c>
      <c r="H34" s="82">
        <f>'1.Фінансовий результат'!H87</f>
        <v>0.3</v>
      </c>
      <c r="I34" s="82">
        <f>'1.Фінансовий результат'!I87</f>
        <v>0.3</v>
      </c>
      <c r="J34" s="82">
        <f>'1.Фінансовий результат'!J87</f>
        <v>0.3</v>
      </c>
    </row>
    <row r="35" spans="1:12" ht="20.100000000000001" customHeight="1">
      <c r="A35" s="31" t="s">
        <v>344</v>
      </c>
      <c r="B35" s="37" t="s">
        <v>345</v>
      </c>
      <c r="C35" s="367">
        <v>1.1000000000000001</v>
      </c>
      <c r="D35" s="82">
        <f>'1.Фінансовий результат'!D85</f>
        <v>0</v>
      </c>
      <c r="E35" s="82">
        <f>'1.Фінансовий результат'!E85</f>
        <v>0.4</v>
      </c>
      <c r="F35" s="82">
        <f>'1.Фінансовий результат'!F88</f>
        <v>0</v>
      </c>
      <c r="G35" s="82">
        <f>'1.Фінансовий результат'!G88</f>
        <v>0</v>
      </c>
      <c r="H35" s="82">
        <f>'1.Фінансовий результат'!H88</f>
        <v>0</v>
      </c>
      <c r="I35" s="82">
        <f>'1.Фінансовий результат'!I88</f>
        <v>0</v>
      </c>
      <c r="J35" s="82">
        <f>'1.Фінансовий результат'!J88</f>
        <v>0</v>
      </c>
    </row>
    <row r="36" spans="1:12" ht="20.100000000000001" customHeight="1">
      <c r="A36" s="31" t="s">
        <v>347</v>
      </c>
      <c r="B36" s="37" t="s">
        <v>346</v>
      </c>
      <c r="C36" s="367">
        <v>104.4</v>
      </c>
      <c r="D36" s="82">
        <v>128</v>
      </c>
      <c r="E36" s="82">
        <f>'1.Фінансовий результат'!E106*0.015</f>
        <v>111.55199999999998</v>
      </c>
      <c r="F36" s="82">
        <f t="shared" si="3"/>
        <v>163.80000000000001</v>
      </c>
      <c r="G36" s="82">
        <f>ROUND('1.Фінансовий результат'!G106*0.015+10,1)</f>
        <v>42</v>
      </c>
      <c r="H36" s="82">
        <f>ROUND('1.Фінансовий результат'!H106*0.015+4,1)</f>
        <v>38</v>
      </c>
      <c r="I36" s="82">
        <f>ROUND('1.Фінансовий результат'!I106*0.015,1)</f>
        <v>39.299999999999997</v>
      </c>
      <c r="J36" s="82">
        <f>ROUND('1.Фінансовий результат'!J106*0.015,1)</f>
        <v>44.5</v>
      </c>
    </row>
    <row r="37" spans="1:12" ht="20.100000000000001" customHeight="1">
      <c r="A37" s="31" t="s">
        <v>377</v>
      </c>
      <c r="B37" s="37" t="s">
        <v>378</v>
      </c>
      <c r="C37" s="367">
        <v>0</v>
      </c>
      <c r="D37" s="367">
        <v>0</v>
      </c>
      <c r="E37" s="367">
        <v>0</v>
      </c>
      <c r="F37" s="82">
        <f t="shared" si="3"/>
        <v>0</v>
      </c>
      <c r="G37" s="82">
        <v>0</v>
      </c>
      <c r="H37" s="82">
        <v>0</v>
      </c>
      <c r="I37" s="82">
        <v>0</v>
      </c>
      <c r="J37" s="82">
        <v>0</v>
      </c>
    </row>
    <row r="38" spans="1:12" s="32" customFormat="1" ht="69" customHeight="1">
      <c r="A38" s="31" t="s">
        <v>66</v>
      </c>
      <c r="B38" s="37">
        <v>2150</v>
      </c>
      <c r="C38" s="82">
        <f>'1.Фінансовий результат'!C107</f>
        <v>1145</v>
      </c>
      <c r="D38" s="82">
        <f>'1.Фінансовий результат'!D107</f>
        <v>1510.5</v>
      </c>
      <c r="E38" s="82">
        <f>'1.Фінансовий результат'!E107</f>
        <v>1636.1099999999997</v>
      </c>
      <c r="F38" s="302">
        <f>'1.Фінансовий результат'!F107</f>
        <v>2163.6</v>
      </c>
      <c r="G38" s="302">
        <f>'1.Фінансовий результат'!G107</f>
        <v>453.2</v>
      </c>
      <c r="H38" s="302">
        <f>'1.Фінансовий результат'!H107</f>
        <v>480.8</v>
      </c>
      <c r="I38" s="302">
        <f>'1.Фінансовий результат'!I107</f>
        <v>576.99</v>
      </c>
      <c r="J38" s="302">
        <f>'1.Фінансовий результат'!J107</f>
        <v>652.61199999999997</v>
      </c>
      <c r="L38" s="264">
        <f>562.1+577.5+601.8+621.7</f>
        <v>2363.1</v>
      </c>
    </row>
    <row r="39" spans="1:12" s="71" customFormat="1" ht="39" customHeight="1">
      <c r="A39" s="69" t="s">
        <v>184</v>
      </c>
      <c r="B39" s="70">
        <v>2200</v>
      </c>
      <c r="C39" s="80">
        <f t="shared" ref="C39:I39" si="4">C18+C19+C20+C22+C38</f>
        <v>2540.1999999999998</v>
      </c>
      <c r="D39" s="80">
        <f t="shared" si="4"/>
        <v>3072.4014520000001</v>
      </c>
      <c r="E39" s="80">
        <f t="shared" si="4"/>
        <v>3317.9152999999997</v>
      </c>
      <c r="F39" s="80">
        <f>F18+F19+F20+F22+F38</f>
        <v>4237.4400000000005</v>
      </c>
      <c r="G39" s="80">
        <f t="shared" si="4"/>
        <v>954.6</v>
      </c>
      <c r="H39" s="80">
        <f>H18+H19+H20+H22+H38</f>
        <v>975.34</v>
      </c>
      <c r="I39" s="80">
        <f t="shared" si="4"/>
        <v>1112.5900000000001</v>
      </c>
      <c r="J39" s="80">
        <f>J18+J19+J20+J22+J38</f>
        <v>1194.9119999999998</v>
      </c>
    </row>
    <row r="40" spans="1:12" s="32" customFormat="1" ht="20.100000000000001" customHeight="1">
      <c r="A40" s="45"/>
      <c r="B40" s="33"/>
      <c r="C40" s="33"/>
      <c r="D40" s="44"/>
      <c r="E40" s="44"/>
      <c r="F40" s="44"/>
      <c r="G40" s="44"/>
      <c r="H40" s="44"/>
      <c r="I40" s="44"/>
      <c r="J40" s="44"/>
    </row>
    <row r="41" spans="1:12" s="32" customFormat="1" ht="20.100000000000001" customHeight="1">
      <c r="A41" s="45"/>
      <c r="B41" s="33"/>
      <c r="C41" s="33"/>
      <c r="D41" s="44"/>
      <c r="E41" s="44"/>
      <c r="F41" s="44"/>
      <c r="G41" s="44"/>
      <c r="H41" s="44"/>
      <c r="I41" s="44"/>
      <c r="J41" s="44"/>
    </row>
    <row r="42" spans="1:12" s="3" customFormat="1" ht="20.100000000000001" customHeight="1">
      <c r="A42" s="269" t="s">
        <v>193</v>
      </c>
      <c r="B42" s="1"/>
      <c r="C42" s="1"/>
      <c r="D42" s="295"/>
      <c r="E42" s="295"/>
      <c r="F42" s="411" t="s">
        <v>317</v>
      </c>
      <c r="G42" s="411"/>
      <c r="H42" s="411"/>
      <c r="I42" s="294"/>
      <c r="J42" s="294"/>
    </row>
    <row r="43" spans="1:12" s="2" customFormat="1" ht="24" customHeight="1">
      <c r="A43" s="314" t="s">
        <v>194</v>
      </c>
      <c r="B43" s="315"/>
      <c r="C43" s="315"/>
      <c r="D43" s="315" t="s">
        <v>192</v>
      </c>
      <c r="E43" s="315"/>
      <c r="F43" s="412" t="s">
        <v>81</v>
      </c>
      <c r="G43" s="412"/>
      <c r="H43" s="412"/>
      <c r="I43" s="286"/>
      <c r="J43" s="286"/>
    </row>
    <row r="44" spans="1:12" s="33" customFormat="1">
      <c r="A44" s="42"/>
      <c r="K44" s="30"/>
      <c r="L44" s="30"/>
    </row>
    <row r="45" spans="1:12" s="33" customFormat="1">
      <c r="A45" s="42"/>
      <c r="K45" s="30"/>
      <c r="L45" s="30"/>
    </row>
    <row r="46" spans="1:12" s="33" customFormat="1">
      <c r="A46" s="42">
        <f>15485</f>
        <v>15485</v>
      </c>
      <c r="K46" s="30"/>
      <c r="L46" s="30"/>
    </row>
    <row r="47" spans="1:12" s="33" customFormat="1">
      <c r="A47" s="42">
        <f>12796+1856+685+105</f>
        <v>15442</v>
      </c>
      <c r="K47" s="30"/>
      <c r="L47" s="30"/>
    </row>
    <row r="48" spans="1:12" s="33" customFormat="1">
      <c r="A48" s="42">
        <f>A46-A47</f>
        <v>43</v>
      </c>
      <c r="K48" s="30"/>
      <c r="L48" s="30"/>
    </row>
    <row r="49" spans="1:12" s="33" customFormat="1">
      <c r="A49" s="184">
        <f>6961000/92/12</f>
        <v>6305.2536231884051</v>
      </c>
      <c r="K49" s="30"/>
      <c r="L49" s="30"/>
    </row>
    <row r="50" spans="1:12" s="33" customFormat="1">
      <c r="A50" s="42"/>
      <c r="K50" s="30"/>
      <c r="L50" s="30"/>
    </row>
    <row r="51" spans="1:12" s="33" customFormat="1">
      <c r="A51" s="42"/>
      <c r="K51" s="30"/>
      <c r="L51" s="30"/>
    </row>
    <row r="52" spans="1:12" s="33" customFormat="1">
      <c r="A52" s="42"/>
      <c r="K52" s="30"/>
      <c r="L52" s="30"/>
    </row>
    <row r="53" spans="1:12" s="33" customFormat="1">
      <c r="A53" s="42"/>
      <c r="K53" s="30"/>
      <c r="L53" s="30"/>
    </row>
    <row r="54" spans="1:12" s="33" customFormat="1">
      <c r="A54" s="42"/>
      <c r="K54" s="30"/>
      <c r="L54" s="30"/>
    </row>
    <row r="55" spans="1:12" s="33" customFormat="1">
      <c r="A55" s="42"/>
      <c r="K55" s="30"/>
      <c r="L55" s="30"/>
    </row>
    <row r="56" spans="1:12" s="33" customFormat="1">
      <c r="A56" s="42"/>
      <c r="K56" s="30"/>
      <c r="L56" s="30"/>
    </row>
    <row r="57" spans="1:12" s="33" customFormat="1">
      <c r="A57" s="42"/>
      <c r="K57" s="30"/>
      <c r="L57" s="30"/>
    </row>
    <row r="58" spans="1:12" s="33" customFormat="1">
      <c r="A58" s="42"/>
      <c r="K58" s="30"/>
      <c r="L58" s="30"/>
    </row>
    <row r="59" spans="1:12" s="33" customFormat="1">
      <c r="A59" s="42"/>
      <c r="K59" s="30"/>
      <c r="L59" s="30"/>
    </row>
    <row r="60" spans="1:12" s="33" customFormat="1">
      <c r="A60" s="42"/>
      <c r="K60" s="30"/>
      <c r="L60" s="30"/>
    </row>
    <row r="61" spans="1:12" s="33" customFormat="1">
      <c r="A61" s="42"/>
      <c r="K61" s="30"/>
      <c r="L61" s="30"/>
    </row>
    <row r="62" spans="1:12" s="33" customFormat="1">
      <c r="A62" s="42"/>
      <c r="K62" s="30"/>
      <c r="L62" s="30"/>
    </row>
    <row r="63" spans="1:12" s="33" customFormat="1">
      <c r="A63" s="42"/>
      <c r="K63" s="30"/>
      <c r="L63" s="30"/>
    </row>
    <row r="64" spans="1:12" s="33" customFormat="1">
      <c r="A64" s="42"/>
      <c r="K64" s="30"/>
      <c r="L64" s="30"/>
    </row>
    <row r="65" spans="1:12" s="33" customFormat="1">
      <c r="A65" s="42"/>
      <c r="K65" s="30"/>
      <c r="L65" s="30"/>
    </row>
    <row r="66" spans="1:12" s="33" customFormat="1">
      <c r="A66" s="42"/>
      <c r="K66" s="30"/>
      <c r="L66" s="30"/>
    </row>
    <row r="67" spans="1:12" s="33" customFormat="1">
      <c r="A67" s="42"/>
      <c r="K67" s="30"/>
      <c r="L67" s="30"/>
    </row>
    <row r="68" spans="1:12" s="33" customFormat="1">
      <c r="A68" s="42"/>
      <c r="K68" s="30"/>
      <c r="L68" s="30"/>
    </row>
    <row r="69" spans="1:12" s="33" customFormat="1">
      <c r="A69" s="42"/>
      <c r="K69" s="30"/>
      <c r="L69" s="30"/>
    </row>
    <row r="70" spans="1:12" s="33" customFormat="1">
      <c r="A70" s="42"/>
      <c r="K70" s="30"/>
      <c r="L70" s="30"/>
    </row>
    <row r="71" spans="1:12" s="33" customFormat="1">
      <c r="A71" s="42"/>
      <c r="K71" s="30"/>
      <c r="L71" s="30"/>
    </row>
    <row r="72" spans="1:12" s="33" customFormat="1">
      <c r="A72" s="42"/>
      <c r="K72" s="30"/>
      <c r="L72" s="30"/>
    </row>
    <row r="73" spans="1:12" s="33" customFormat="1">
      <c r="A73" s="42"/>
      <c r="K73" s="30"/>
      <c r="L73" s="30"/>
    </row>
    <row r="74" spans="1:12" s="33" customFormat="1">
      <c r="A74" s="42"/>
      <c r="K74" s="30"/>
      <c r="L74" s="30"/>
    </row>
    <row r="75" spans="1:12" s="33" customFormat="1">
      <c r="A75" s="42"/>
      <c r="K75" s="30"/>
      <c r="L75" s="30"/>
    </row>
    <row r="76" spans="1:12" s="33" customFormat="1">
      <c r="A76" s="42"/>
      <c r="K76" s="30"/>
      <c r="L76" s="30"/>
    </row>
    <row r="77" spans="1:12" s="33" customFormat="1">
      <c r="A77" s="42"/>
      <c r="K77" s="30"/>
      <c r="L77" s="30"/>
    </row>
    <row r="78" spans="1:12" s="33" customFormat="1">
      <c r="A78" s="42"/>
      <c r="K78" s="30"/>
      <c r="L78" s="30"/>
    </row>
    <row r="79" spans="1:12" s="33" customFormat="1">
      <c r="A79" s="42"/>
      <c r="K79" s="30"/>
      <c r="L79" s="30"/>
    </row>
    <row r="80" spans="1:12" s="33" customFormat="1">
      <c r="A80" s="42"/>
      <c r="K80" s="30"/>
      <c r="L80" s="30"/>
    </row>
    <row r="81" spans="1:12" s="33" customFormat="1">
      <c r="A81" s="42"/>
      <c r="K81" s="30"/>
      <c r="L81" s="30"/>
    </row>
    <row r="82" spans="1:12" s="33" customFormat="1">
      <c r="A82" s="42"/>
      <c r="K82" s="30"/>
      <c r="L82" s="30"/>
    </row>
    <row r="83" spans="1:12" s="33" customFormat="1">
      <c r="A83" s="42"/>
      <c r="K83" s="30"/>
      <c r="L83" s="30"/>
    </row>
    <row r="84" spans="1:12" s="33" customFormat="1">
      <c r="A84" s="42"/>
      <c r="K84" s="30"/>
      <c r="L84" s="30"/>
    </row>
    <row r="85" spans="1:12" s="33" customFormat="1">
      <c r="A85" s="42"/>
      <c r="K85" s="30"/>
      <c r="L85" s="30"/>
    </row>
    <row r="86" spans="1:12" s="33" customFormat="1">
      <c r="A86" s="42"/>
      <c r="K86" s="30"/>
      <c r="L86" s="30"/>
    </row>
    <row r="87" spans="1:12" s="33" customFormat="1">
      <c r="A87" s="42"/>
      <c r="K87" s="30"/>
      <c r="L87" s="30"/>
    </row>
    <row r="88" spans="1:12" s="33" customFormat="1">
      <c r="A88" s="42"/>
      <c r="K88" s="30"/>
      <c r="L88" s="30"/>
    </row>
    <row r="89" spans="1:12" s="33" customFormat="1">
      <c r="A89" s="42"/>
      <c r="K89" s="30"/>
      <c r="L89" s="30"/>
    </row>
    <row r="90" spans="1:12" s="33" customFormat="1">
      <c r="A90" s="42"/>
      <c r="K90" s="30"/>
      <c r="L90" s="30"/>
    </row>
    <row r="91" spans="1:12" s="33" customFormat="1">
      <c r="A91" s="42"/>
      <c r="K91" s="30"/>
      <c r="L91" s="30"/>
    </row>
    <row r="92" spans="1:12" s="33" customFormat="1">
      <c r="A92" s="42"/>
      <c r="K92" s="30"/>
      <c r="L92" s="30"/>
    </row>
    <row r="93" spans="1:12" s="33" customFormat="1">
      <c r="A93" s="42"/>
      <c r="K93" s="30"/>
      <c r="L93" s="30"/>
    </row>
    <row r="94" spans="1:12" s="33" customFormat="1">
      <c r="A94" s="42"/>
      <c r="K94" s="30"/>
      <c r="L94" s="30"/>
    </row>
    <row r="95" spans="1:12" s="33" customFormat="1">
      <c r="A95" s="42"/>
      <c r="K95" s="30"/>
      <c r="L95" s="30"/>
    </row>
    <row r="96" spans="1:12" s="33" customFormat="1">
      <c r="A96" s="42"/>
      <c r="K96" s="30"/>
      <c r="L96" s="30"/>
    </row>
    <row r="97" spans="1:12" s="33" customFormat="1">
      <c r="A97" s="42"/>
      <c r="K97" s="30"/>
      <c r="L97" s="30"/>
    </row>
    <row r="98" spans="1:12" s="33" customFormat="1">
      <c r="A98" s="42"/>
      <c r="K98" s="30"/>
      <c r="L98" s="30"/>
    </row>
    <row r="99" spans="1:12" s="33" customFormat="1">
      <c r="A99" s="42"/>
      <c r="K99" s="30"/>
      <c r="L99" s="30"/>
    </row>
    <row r="100" spans="1:12" s="33" customFormat="1">
      <c r="A100" s="42"/>
      <c r="K100" s="30"/>
      <c r="L100" s="30"/>
    </row>
    <row r="101" spans="1:12" s="33" customFormat="1">
      <c r="A101" s="42"/>
      <c r="K101" s="30"/>
      <c r="L101" s="30"/>
    </row>
    <row r="102" spans="1:12" s="33" customFormat="1">
      <c r="A102" s="42"/>
      <c r="K102" s="30"/>
      <c r="L102" s="30"/>
    </row>
    <row r="103" spans="1:12" s="33" customFormat="1">
      <c r="A103" s="42"/>
      <c r="K103" s="30"/>
      <c r="L103" s="30"/>
    </row>
    <row r="104" spans="1:12" s="33" customFormat="1">
      <c r="A104" s="42"/>
      <c r="K104" s="30"/>
      <c r="L104" s="30"/>
    </row>
    <row r="105" spans="1:12" s="33" customFormat="1">
      <c r="A105" s="42"/>
      <c r="K105" s="30"/>
      <c r="L105" s="30"/>
    </row>
    <row r="106" spans="1:12" s="33" customFormat="1">
      <c r="A106" s="42"/>
      <c r="K106" s="30"/>
      <c r="L106" s="30"/>
    </row>
    <row r="107" spans="1:12" s="33" customFormat="1">
      <c r="A107" s="42"/>
      <c r="K107" s="30"/>
      <c r="L107" s="30"/>
    </row>
    <row r="108" spans="1:12" s="33" customFormat="1">
      <c r="A108" s="42"/>
      <c r="K108" s="30"/>
      <c r="L108" s="30"/>
    </row>
    <row r="109" spans="1:12" s="33" customFormat="1">
      <c r="A109" s="42"/>
      <c r="K109" s="30"/>
      <c r="L109" s="30"/>
    </row>
    <row r="110" spans="1:12" s="33" customFormat="1">
      <c r="A110" s="42"/>
      <c r="K110" s="30"/>
      <c r="L110" s="30"/>
    </row>
    <row r="111" spans="1:12" s="33" customFormat="1">
      <c r="A111" s="42"/>
      <c r="K111" s="30"/>
      <c r="L111" s="30"/>
    </row>
    <row r="112" spans="1:12" s="33" customFormat="1">
      <c r="A112" s="42"/>
      <c r="K112" s="30"/>
      <c r="L112" s="30"/>
    </row>
    <row r="113" spans="1:12" s="33" customFormat="1">
      <c r="A113" s="42"/>
      <c r="K113" s="30"/>
      <c r="L113" s="30"/>
    </row>
    <row r="114" spans="1:12" s="33" customFormat="1">
      <c r="A114" s="42"/>
      <c r="K114" s="30"/>
      <c r="L114" s="30"/>
    </row>
    <row r="115" spans="1:12" s="33" customFormat="1">
      <c r="A115" s="42"/>
      <c r="K115" s="30"/>
      <c r="L115" s="30"/>
    </row>
    <row r="116" spans="1:12" s="33" customFormat="1">
      <c r="A116" s="42"/>
      <c r="K116" s="30"/>
      <c r="L116" s="30"/>
    </row>
    <row r="117" spans="1:12" s="33" customFormat="1">
      <c r="A117" s="42"/>
      <c r="K117" s="30"/>
      <c r="L117" s="30"/>
    </row>
    <row r="118" spans="1:12" s="33" customFormat="1">
      <c r="A118" s="42"/>
      <c r="K118" s="30"/>
      <c r="L118" s="30"/>
    </row>
    <row r="119" spans="1:12" s="33" customFormat="1">
      <c r="A119" s="42"/>
      <c r="K119" s="30"/>
      <c r="L119" s="30"/>
    </row>
    <row r="120" spans="1:12" s="33" customFormat="1">
      <c r="A120" s="42"/>
      <c r="K120" s="30"/>
      <c r="L120" s="30"/>
    </row>
    <row r="121" spans="1:12" s="33" customFormat="1">
      <c r="A121" s="42"/>
      <c r="K121" s="30"/>
      <c r="L121" s="30"/>
    </row>
    <row r="122" spans="1:12" s="33" customFormat="1">
      <c r="A122" s="42"/>
      <c r="K122" s="30"/>
      <c r="L122" s="30"/>
    </row>
    <row r="123" spans="1:12" s="33" customFormat="1">
      <c r="A123" s="42"/>
      <c r="K123" s="30"/>
      <c r="L123" s="30"/>
    </row>
    <row r="124" spans="1:12" s="33" customFormat="1">
      <c r="A124" s="42"/>
      <c r="K124" s="30"/>
      <c r="L124" s="30"/>
    </row>
    <row r="125" spans="1:12" s="33" customFormat="1">
      <c r="A125" s="42"/>
      <c r="K125" s="30"/>
      <c r="L125" s="30"/>
    </row>
    <row r="126" spans="1:12" s="33" customFormat="1">
      <c r="A126" s="42"/>
      <c r="K126" s="30"/>
      <c r="L126" s="30"/>
    </row>
    <row r="127" spans="1:12" s="33" customFormat="1">
      <c r="A127" s="42"/>
      <c r="K127" s="30"/>
      <c r="L127" s="30"/>
    </row>
    <row r="128" spans="1:12" s="33" customFormat="1">
      <c r="A128" s="42"/>
      <c r="K128" s="30"/>
      <c r="L128" s="30"/>
    </row>
    <row r="129" spans="1:12" s="33" customFormat="1">
      <c r="A129" s="42"/>
      <c r="K129" s="30"/>
      <c r="L129" s="30"/>
    </row>
    <row r="130" spans="1:12" s="33" customFormat="1">
      <c r="A130" s="42"/>
      <c r="K130" s="30"/>
      <c r="L130" s="30"/>
    </row>
    <row r="131" spans="1:12" s="33" customFormat="1">
      <c r="A131" s="42"/>
      <c r="K131" s="30"/>
      <c r="L131" s="30"/>
    </row>
    <row r="132" spans="1:12" s="33" customFormat="1">
      <c r="A132" s="42"/>
      <c r="K132" s="30"/>
      <c r="L132" s="30"/>
    </row>
    <row r="133" spans="1:12" s="33" customFormat="1">
      <c r="A133" s="42"/>
      <c r="K133" s="30"/>
      <c r="L133" s="30"/>
    </row>
    <row r="134" spans="1:12" s="33" customFormat="1">
      <c r="A134" s="42"/>
      <c r="K134" s="30"/>
      <c r="L134" s="30"/>
    </row>
    <row r="135" spans="1:12" s="33" customFormat="1">
      <c r="A135" s="42"/>
      <c r="K135" s="30"/>
      <c r="L135" s="30"/>
    </row>
    <row r="136" spans="1:12" s="33" customFormat="1">
      <c r="A136" s="42"/>
      <c r="K136" s="30"/>
      <c r="L136" s="30"/>
    </row>
    <row r="137" spans="1:12" s="33" customFormat="1">
      <c r="A137" s="42"/>
      <c r="K137" s="30"/>
      <c r="L137" s="30"/>
    </row>
    <row r="138" spans="1:12" s="33" customFormat="1">
      <c r="A138" s="42"/>
      <c r="K138" s="30"/>
      <c r="L138" s="30"/>
    </row>
    <row r="139" spans="1:12" s="33" customFormat="1">
      <c r="A139" s="42"/>
      <c r="K139" s="30"/>
      <c r="L139" s="30"/>
    </row>
    <row r="140" spans="1:12" s="33" customFormat="1">
      <c r="A140" s="42"/>
      <c r="K140" s="30"/>
      <c r="L140" s="30"/>
    </row>
    <row r="141" spans="1:12" s="33" customFormat="1">
      <c r="A141" s="42"/>
      <c r="K141" s="30"/>
      <c r="L141" s="30"/>
    </row>
    <row r="142" spans="1:12" s="33" customFormat="1">
      <c r="A142" s="42"/>
      <c r="K142" s="30"/>
      <c r="L142" s="30"/>
    </row>
    <row r="143" spans="1:12" s="33" customFormat="1">
      <c r="A143" s="42"/>
      <c r="K143" s="30"/>
      <c r="L143" s="30"/>
    </row>
    <row r="144" spans="1:12" s="33" customFormat="1">
      <c r="A144" s="42"/>
      <c r="K144" s="30"/>
      <c r="L144" s="30"/>
    </row>
    <row r="145" spans="1:12" s="33" customFormat="1">
      <c r="A145" s="42"/>
      <c r="K145" s="30"/>
      <c r="L145" s="30"/>
    </row>
    <row r="146" spans="1:12" s="33" customFormat="1">
      <c r="A146" s="42"/>
      <c r="K146" s="30"/>
      <c r="L146" s="30"/>
    </row>
    <row r="147" spans="1:12" s="33" customFormat="1">
      <c r="A147" s="42"/>
      <c r="K147" s="30"/>
      <c r="L147" s="30"/>
    </row>
    <row r="148" spans="1:12" s="33" customFormat="1">
      <c r="A148" s="42"/>
      <c r="K148" s="30"/>
      <c r="L148" s="30"/>
    </row>
    <row r="149" spans="1:12" s="33" customFormat="1">
      <c r="A149" s="42"/>
      <c r="K149" s="30"/>
      <c r="L149" s="30"/>
    </row>
    <row r="150" spans="1:12" s="33" customFormat="1">
      <c r="A150" s="42"/>
      <c r="K150" s="30"/>
      <c r="L150" s="30"/>
    </row>
    <row r="151" spans="1:12" s="33" customFormat="1">
      <c r="A151" s="42"/>
      <c r="K151" s="30"/>
      <c r="L151" s="30"/>
    </row>
    <row r="152" spans="1:12" s="33" customFormat="1">
      <c r="A152" s="42"/>
      <c r="K152" s="30"/>
      <c r="L152" s="30"/>
    </row>
    <row r="153" spans="1:12" s="33" customFormat="1">
      <c r="A153" s="42"/>
      <c r="K153" s="30"/>
      <c r="L153" s="30"/>
    </row>
    <row r="154" spans="1:12" s="33" customFormat="1">
      <c r="A154" s="42"/>
      <c r="K154" s="30"/>
      <c r="L154" s="30"/>
    </row>
    <row r="155" spans="1:12" s="33" customFormat="1">
      <c r="A155" s="42"/>
      <c r="K155" s="30"/>
      <c r="L155" s="30"/>
    </row>
    <row r="156" spans="1:12" s="33" customFormat="1">
      <c r="A156" s="42"/>
      <c r="K156" s="30"/>
      <c r="L156" s="30"/>
    </row>
    <row r="157" spans="1:12" s="33" customFormat="1">
      <c r="A157" s="42"/>
      <c r="K157" s="30"/>
      <c r="L157" s="30"/>
    </row>
    <row r="158" spans="1:12" s="33" customFormat="1">
      <c r="A158" s="42"/>
      <c r="K158" s="30"/>
      <c r="L158" s="30"/>
    </row>
    <row r="159" spans="1:12" s="33" customFormat="1">
      <c r="A159" s="42"/>
      <c r="K159" s="30"/>
      <c r="L159" s="30"/>
    </row>
    <row r="160" spans="1:12" s="33" customFormat="1">
      <c r="A160" s="42"/>
      <c r="K160" s="30"/>
      <c r="L160" s="30"/>
    </row>
    <row r="161" spans="1:12" s="33" customFormat="1">
      <c r="A161" s="42"/>
      <c r="K161" s="30"/>
      <c r="L161" s="30"/>
    </row>
    <row r="162" spans="1:12" s="33" customFormat="1">
      <c r="A162" s="42"/>
      <c r="K162" s="30"/>
      <c r="L162" s="30"/>
    </row>
    <row r="163" spans="1:12" s="33" customFormat="1">
      <c r="A163" s="42"/>
      <c r="K163" s="30"/>
      <c r="L163" s="30"/>
    </row>
    <row r="164" spans="1:12" s="33" customFormat="1">
      <c r="A164" s="42"/>
      <c r="K164" s="30"/>
      <c r="L164" s="30"/>
    </row>
    <row r="165" spans="1:12" s="33" customFormat="1">
      <c r="A165" s="42"/>
      <c r="K165" s="30"/>
      <c r="L165" s="30"/>
    </row>
    <row r="166" spans="1:12" s="33" customFormat="1">
      <c r="A166" s="42"/>
      <c r="K166" s="30"/>
      <c r="L166" s="30"/>
    </row>
    <row r="167" spans="1:12" s="33" customFormat="1">
      <c r="A167" s="42"/>
      <c r="K167" s="30"/>
      <c r="L167" s="30"/>
    </row>
    <row r="168" spans="1:12" s="33" customFormat="1">
      <c r="A168" s="42"/>
      <c r="K168" s="30"/>
      <c r="L168" s="30"/>
    </row>
    <row r="169" spans="1:12" s="33" customFormat="1">
      <c r="A169" s="42"/>
      <c r="K169" s="30"/>
      <c r="L169" s="30"/>
    </row>
    <row r="170" spans="1:12" s="33" customFormat="1">
      <c r="A170" s="42"/>
      <c r="K170" s="30"/>
      <c r="L170" s="30"/>
    </row>
    <row r="171" spans="1:12" s="33" customFormat="1">
      <c r="A171" s="42"/>
      <c r="K171" s="30"/>
      <c r="L171" s="30"/>
    </row>
    <row r="172" spans="1:12" s="33" customFormat="1">
      <c r="A172" s="42"/>
      <c r="K172" s="30"/>
      <c r="L172" s="30"/>
    </row>
    <row r="173" spans="1:12" s="33" customFormat="1">
      <c r="A173" s="42"/>
      <c r="K173" s="30"/>
      <c r="L173" s="30"/>
    </row>
    <row r="174" spans="1:12" s="33" customFormat="1">
      <c r="A174" s="42"/>
      <c r="K174" s="30"/>
      <c r="L174" s="30"/>
    </row>
    <row r="175" spans="1:12" s="33" customFormat="1">
      <c r="A175" s="42"/>
      <c r="K175" s="30"/>
      <c r="L175" s="30"/>
    </row>
    <row r="176" spans="1:12" s="33" customFormat="1">
      <c r="A176" s="42"/>
      <c r="K176" s="30"/>
      <c r="L176" s="30"/>
    </row>
    <row r="177" spans="1:12" s="33" customFormat="1">
      <c r="A177" s="42"/>
      <c r="K177" s="30"/>
      <c r="L177" s="30"/>
    </row>
    <row r="178" spans="1:12" s="33" customFormat="1">
      <c r="A178" s="42"/>
      <c r="K178" s="30"/>
      <c r="L178" s="30"/>
    </row>
    <row r="179" spans="1:12" s="33" customFormat="1">
      <c r="A179" s="42"/>
      <c r="K179" s="30"/>
      <c r="L179" s="30"/>
    </row>
    <row r="180" spans="1:12" s="33" customFormat="1">
      <c r="A180" s="42"/>
      <c r="K180" s="30"/>
      <c r="L180" s="30"/>
    </row>
    <row r="181" spans="1:12" s="33" customFormat="1">
      <c r="A181" s="42"/>
      <c r="K181" s="30"/>
      <c r="L181" s="30"/>
    </row>
    <row r="182" spans="1:12" s="33" customFormat="1">
      <c r="A182" s="42"/>
      <c r="K182" s="30"/>
      <c r="L182" s="30"/>
    </row>
    <row r="183" spans="1:12" s="33" customFormat="1">
      <c r="A183" s="42"/>
      <c r="K183" s="30"/>
      <c r="L183" s="30"/>
    </row>
    <row r="184" spans="1:12" s="33" customFormat="1">
      <c r="A184" s="42"/>
      <c r="K184" s="30"/>
      <c r="L184" s="30"/>
    </row>
    <row r="185" spans="1:12" s="33" customFormat="1">
      <c r="A185" s="42"/>
      <c r="K185" s="30"/>
      <c r="L185" s="30"/>
    </row>
    <row r="186" spans="1:12" s="33" customFormat="1">
      <c r="A186" s="42"/>
      <c r="K186" s="30"/>
      <c r="L186" s="30"/>
    </row>
    <row r="187" spans="1:12" s="33" customFormat="1">
      <c r="A187" s="42"/>
      <c r="K187" s="30"/>
      <c r="L187" s="30"/>
    </row>
    <row r="188" spans="1:12" s="33" customFormat="1">
      <c r="A188" s="42"/>
      <c r="K188" s="30"/>
      <c r="L188" s="30"/>
    </row>
    <row r="189" spans="1:12" s="33" customFormat="1">
      <c r="A189" s="42"/>
      <c r="K189" s="30"/>
      <c r="L189" s="30"/>
    </row>
    <row r="190" spans="1:12" s="33" customFormat="1">
      <c r="A190" s="42"/>
      <c r="K190" s="30"/>
      <c r="L190" s="30"/>
    </row>
    <row r="191" spans="1:12" s="33" customFormat="1">
      <c r="A191" s="42"/>
      <c r="K191" s="30"/>
      <c r="L191" s="30"/>
    </row>
    <row r="192" spans="1:12" s="33" customFormat="1">
      <c r="A192" s="42"/>
      <c r="K192" s="30"/>
      <c r="L192" s="30"/>
    </row>
    <row r="193" spans="1:12" s="33" customFormat="1">
      <c r="A193" s="42"/>
      <c r="K193" s="30"/>
      <c r="L193" s="30"/>
    </row>
  </sheetData>
  <mergeCells count="12">
    <mergeCell ref="A7:J7"/>
    <mergeCell ref="A17:J17"/>
    <mergeCell ref="F42:H42"/>
    <mergeCell ref="F43:H43"/>
    <mergeCell ref="C4:C5"/>
    <mergeCell ref="A2:J2"/>
    <mergeCell ref="A4:A5"/>
    <mergeCell ref="B4:B5"/>
    <mergeCell ref="D4:D5"/>
    <mergeCell ref="E4:E5"/>
    <mergeCell ref="F4:F5"/>
    <mergeCell ref="G4:J4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0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15"/>
  <sheetViews>
    <sheetView view="pageBreakPreview" zoomScale="57" zoomScaleNormal="75" zoomScaleSheetLayoutView="57" workbookViewId="0">
      <selection activeCell="E11" sqref="E11"/>
    </sheetView>
  </sheetViews>
  <sheetFormatPr defaultRowHeight="18.75" outlineLevelRow="1"/>
  <cols>
    <col min="1" max="1" width="35" style="2" customWidth="1"/>
    <col min="2" max="2" width="10.140625" style="2" customWidth="1"/>
    <col min="3" max="3" width="13" style="2" customWidth="1"/>
    <col min="4" max="4" width="12.28515625" style="2" customWidth="1"/>
    <col min="5" max="5" width="15.140625" style="2" customWidth="1"/>
    <col min="6" max="6" width="13.42578125" style="2" customWidth="1"/>
    <col min="7" max="7" width="15.7109375" style="2" customWidth="1"/>
    <col min="8" max="10" width="13.42578125" style="2" customWidth="1"/>
    <col min="11" max="16384" width="9.140625" style="2"/>
  </cols>
  <sheetData>
    <row r="2" spans="1:10">
      <c r="A2" s="413" t="s">
        <v>117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0" outlineLevel="1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30.75" customHeight="1">
      <c r="A4" s="414" t="s">
        <v>182</v>
      </c>
      <c r="B4" s="416" t="s">
        <v>0</v>
      </c>
      <c r="C4" s="388" t="s">
        <v>409</v>
      </c>
      <c r="D4" s="388" t="s">
        <v>379</v>
      </c>
      <c r="E4" s="388" t="s">
        <v>394</v>
      </c>
      <c r="F4" s="405" t="s">
        <v>396</v>
      </c>
      <c r="G4" s="395" t="s">
        <v>264</v>
      </c>
      <c r="H4" s="395"/>
      <c r="I4" s="395"/>
      <c r="J4" s="395"/>
    </row>
    <row r="5" spans="1:10" ht="112.5" customHeight="1">
      <c r="A5" s="415"/>
      <c r="B5" s="416"/>
      <c r="C5" s="389"/>
      <c r="D5" s="389"/>
      <c r="E5" s="389"/>
      <c r="F5" s="406"/>
      <c r="G5" s="311" t="s">
        <v>144</v>
      </c>
      <c r="H5" s="311" t="s">
        <v>145</v>
      </c>
      <c r="I5" s="311" t="s">
        <v>146</v>
      </c>
      <c r="J5" s="311" t="s">
        <v>55</v>
      </c>
    </row>
    <row r="6" spans="1:10" ht="18" customHeight="1">
      <c r="A6" s="59">
        <v>1</v>
      </c>
      <c r="B6" s="43">
        <v>2</v>
      </c>
      <c r="C6" s="301">
        <v>3</v>
      </c>
      <c r="D6" s="43">
        <v>4</v>
      </c>
      <c r="E6" s="301">
        <v>5</v>
      </c>
      <c r="F6" s="43">
        <v>6</v>
      </c>
      <c r="G6" s="301">
        <v>7</v>
      </c>
      <c r="H6" s="43">
        <v>8</v>
      </c>
      <c r="I6" s="301">
        <v>9</v>
      </c>
      <c r="J6" s="43">
        <v>10</v>
      </c>
    </row>
    <row r="7" spans="1:10" s="41" customFormat="1" ht="30.75" customHeight="1">
      <c r="A7" s="417" t="s">
        <v>121</v>
      </c>
      <c r="B7" s="417"/>
      <c r="C7" s="417"/>
      <c r="D7" s="417"/>
      <c r="E7" s="417"/>
      <c r="F7" s="417"/>
      <c r="G7" s="417"/>
      <c r="H7" s="417"/>
      <c r="I7" s="417"/>
      <c r="J7" s="417"/>
    </row>
    <row r="8" spans="1:10" ht="35.25" customHeight="1">
      <c r="A8" s="99" t="s">
        <v>133</v>
      </c>
      <c r="B8" s="100">
        <v>1200</v>
      </c>
      <c r="C8" s="84">
        <f>'1.Фінансовий результат'!C95</f>
        <v>32.599999999999952</v>
      </c>
      <c r="D8" s="84">
        <f>'1.Фінансовий результат'!D95</f>
        <v>42.899999999999281</v>
      </c>
      <c r="E8" s="84">
        <f>'1.Фінансовий результат'!E95</f>
        <v>39.99000000000153</v>
      </c>
      <c r="F8" s="84">
        <f>G8+H8+I8+J8</f>
        <v>29.700000000000003</v>
      </c>
      <c r="G8" s="279">
        <f>'1.Фінансовий результат'!G98</f>
        <v>13</v>
      </c>
      <c r="H8" s="279">
        <f>'1.Фінансовий результат'!H98</f>
        <v>7</v>
      </c>
      <c r="I8" s="279">
        <f>'1.Фінансовий результат'!I98</f>
        <v>5.3</v>
      </c>
      <c r="J8" s="279">
        <f>'1.Фінансовий результат'!J98</f>
        <v>4.4000000000000004</v>
      </c>
    </row>
    <row r="9" spans="1:10" ht="20.100000000000001" customHeight="1">
      <c r="A9" s="99" t="s">
        <v>134</v>
      </c>
      <c r="B9" s="101"/>
      <c r="C9" s="101"/>
      <c r="D9" s="53"/>
      <c r="E9" s="53"/>
      <c r="F9" s="53"/>
      <c r="G9" s="279"/>
      <c r="H9" s="53"/>
      <c r="I9" s="53"/>
      <c r="J9" s="53"/>
    </row>
    <row r="10" spans="1:10" ht="20.100000000000001" customHeight="1">
      <c r="A10" s="99" t="s">
        <v>136</v>
      </c>
      <c r="B10" s="102">
        <v>3000</v>
      </c>
      <c r="C10" s="102"/>
      <c r="D10" s="84"/>
      <c r="E10" s="84"/>
      <c r="F10" s="84"/>
      <c r="G10" s="215"/>
      <c r="H10" s="84"/>
      <c r="I10" s="84"/>
      <c r="J10" s="84"/>
    </row>
    <row r="11" spans="1:10" ht="20.100000000000001" customHeight="1">
      <c r="A11" s="99" t="s">
        <v>137</v>
      </c>
      <c r="B11" s="102">
        <v>3010</v>
      </c>
      <c r="C11" s="102"/>
      <c r="D11" s="84"/>
      <c r="E11" s="84"/>
      <c r="F11" s="84"/>
      <c r="G11" s="215"/>
      <c r="H11" s="84"/>
      <c r="I11" s="84"/>
      <c r="J11" s="84"/>
    </row>
    <row r="12" spans="1:10" ht="20.100000000000001" customHeight="1">
      <c r="A12" s="99" t="s">
        <v>138</v>
      </c>
      <c r="B12" s="102">
        <v>3020</v>
      </c>
      <c r="C12" s="102"/>
      <c r="D12" s="84"/>
      <c r="E12" s="84"/>
      <c r="F12" s="84"/>
      <c r="G12" s="215"/>
      <c r="H12" s="84"/>
      <c r="I12" s="84"/>
      <c r="J12" s="84"/>
    </row>
    <row r="13" spans="1:10" ht="62.25" customHeight="1">
      <c r="A13" s="99" t="s">
        <v>139</v>
      </c>
      <c r="B13" s="102">
        <v>3030</v>
      </c>
      <c r="C13" s="102"/>
      <c r="D13" s="84"/>
      <c r="E13" s="84"/>
      <c r="F13" s="84"/>
      <c r="G13" s="215"/>
      <c r="H13" s="84"/>
      <c r="I13" s="84"/>
      <c r="J13" s="84"/>
    </row>
    <row r="14" spans="1:10" ht="48" customHeight="1">
      <c r="A14" s="98" t="s">
        <v>175</v>
      </c>
      <c r="B14" s="102">
        <v>3040</v>
      </c>
      <c r="C14" s="102"/>
      <c r="D14" s="84"/>
      <c r="E14" s="84"/>
      <c r="F14" s="84"/>
      <c r="G14" s="289"/>
      <c r="H14" s="84"/>
      <c r="I14" s="84"/>
      <c r="J14" s="84"/>
    </row>
    <row r="15" spans="1:10" ht="34.5" customHeight="1">
      <c r="A15" s="99" t="s">
        <v>140</v>
      </c>
      <c r="B15" s="102">
        <v>3050</v>
      </c>
      <c r="C15" s="102"/>
      <c r="D15" s="84"/>
      <c r="E15" s="84"/>
      <c r="F15" s="84"/>
      <c r="H15" s="84"/>
      <c r="I15" s="84"/>
      <c r="J15" s="84"/>
    </row>
    <row r="16" spans="1:10" ht="50.25" customHeight="1">
      <c r="A16" s="99" t="s">
        <v>141</v>
      </c>
      <c r="B16" s="102">
        <v>3060</v>
      </c>
      <c r="C16" s="102"/>
      <c r="D16" s="84"/>
      <c r="E16" s="84"/>
      <c r="F16" s="84"/>
      <c r="G16" s="279"/>
      <c r="H16" s="84"/>
      <c r="I16" s="84"/>
      <c r="J16" s="84"/>
    </row>
    <row r="17" spans="1:10" ht="32.25" customHeight="1">
      <c r="A17" s="98" t="s">
        <v>302</v>
      </c>
      <c r="B17" s="102">
        <v>3070</v>
      </c>
      <c r="C17" s="74">
        <f t="shared" ref="C17:E17" si="0">C18</f>
        <v>12014</v>
      </c>
      <c r="D17" s="74">
        <f t="shared" si="0"/>
        <v>15485.199999999999</v>
      </c>
      <c r="E17" s="74">
        <f t="shared" si="0"/>
        <v>15217</v>
      </c>
      <c r="F17" s="74">
        <f>'1.Фінансовий результат'!F13</f>
        <v>18975.400000000001</v>
      </c>
      <c r="G17" s="74">
        <f t="shared" ref="G17:J18" si="1">G18</f>
        <v>4057</v>
      </c>
      <c r="H17" s="74">
        <f t="shared" si="1"/>
        <v>4648.3999999999996</v>
      </c>
      <c r="I17" s="74">
        <f t="shared" si="1"/>
        <v>4932.3999999999996</v>
      </c>
      <c r="J17" s="74">
        <f t="shared" si="1"/>
        <v>5337.6</v>
      </c>
    </row>
    <row r="18" spans="1:10" ht="23.25" customHeight="1">
      <c r="A18" s="103" t="s">
        <v>296</v>
      </c>
      <c r="B18" s="102" t="s">
        <v>304</v>
      </c>
      <c r="C18" s="74">
        <f t="shared" ref="C18:E18" si="2">C19</f>
        <v>12014</v>
      </c>
      <c r="D18" s="74">
        <f t="shared" si="2"/>
        <v>15485.199999999999</v>
      </c>
      <c r="E18" s="74">
        <f t="shared" si="2"/>
        <v>15217</v>
      </c>
      <c r="F18" s="74">
        <f>F19</f>
        <v>18975.400000000001</v>
      </c>
      <c r="G18" s="279">
        <f t="shared" si="1"/>
        <v>4057</v>
      </c>
      <c r="H18" s="288">
        <f t="shared" si="1"/>
        <v>4648.3999999999996</v>
      </c>
      <c r="I18" s="288">
        <f t="shared" si="1"/>
        <v>4932.3999999999996</v>
      </c>
      <c r="J18" s="288">
        <f t="shared" si="1"/>
        <v>5337.6</v>
      </c>
    </row>
    <row r="19" spans="1:10" ht="36.75" customHeight="1">
      <c r="A19" s="122" t="s">
        <v>297</v>
      </c>
      <c r="B19" s="102" t="s">
        <v>307</v>
      </c>
      <c r="C19" s="355">
        <f>'1.Фінансовий результат'!C13</f>
        <v>12014</v>
      </c>
      <c r="D19" s="309">
        <f>'1.Фінансовий результат'!D13</f>
        <v>15485.199999999999</v>
      </c>
      <c r="E19" s="309">
        <f>'1.Фінансовий результат'!E13</f>
        <v>15217</v>
      </c>
      <c r="F19" s="309">
        <f>'1.Фінансовий результат'!F13</f>
        <v>18975.400000000001</v>
      </c>
      <c r="G19" s="279">
        <f>'1.Фінансовий результат'!G13</f>
        <v>4057</v>
      </c>
      <c r="H19" s="288">
        <f>'1.Фінансовий результат'!H13</f>
        <v>4648.3999999999996</v>
      </c>
      <c r="I19" s="288">
        <f>'1.Фінансовий результат'!I13</f>
        <v>4932.3999999999996</v>
      </c>
      <c r="J19" s="288">
        <f>'1.Фінансовий результат'!J13</f>
        <v>5337.6</v>
      </c>
    </row>
    <row r="20" spans="1:10" ht="19.5" customHeight="1">
      <c r="A20" s="103" t="s">
        <v>298</v>
      </c>
      <c r="B20" s="102" t="s">
        <v>305</v>
      </c>
      <c r="C20" s="74">
        <f>C21+C22+C23+C24+C25+C27</f>
        <v>11981.400000000001</v>
      </c>
      <c r="D20" s="180">
        <f>D21+D22+D23+D24+D25</f>
        <v>15441.436452000002</v>
      </c>
      <c r="E20" s="74">
        <f>'1.Фінансовий результат'!E100-E28-E27</f>
        <v>15177.009999999998</v>
      </c>
      <c r="F20" s="74">
        <f>'1.Фінансовий результат'!F110</f>
        <v>18938.5</v>
      </c>
      <c r="G20" s="74">
        <f>'1.Фінансовий результат'!G110</f>
        <v>4041.2</v>
      </c>
      <c r="H20" s="74">
        <f>'1.Фінансовий результат'!H110</f>
        <v>4639.2</v>
      </c>
      <c r="I20" s="74">
        <f>'1.Фінансовий результат'!I110</f>
        <v>4925.8999999999996</v>
      </c>
      <c r="J20" s="74">
        <f>'1.Фінансовий результат'!J110</f>
        <v>5332.2</v>
      </c>
    </row>
    <row r="21" spans="1:10" ht="23.25" customHeight="1">
      <c r="A21" s="122" t="s">
        <v>299</v>
      </c>
      <c r="B21" s="102" t="s">
        <v>308</v>
      </c>
      <c r="C21" s="102">
        <v>4143.5</v>
      </c>
      <c r="D21" s="309">
        <v>5421.1</v>
      </c>
      <c r="E21" s="309">
        <f t="shared" ref="E21:J21" si="3">E20-E22-E23-E24-E25</f>
        <v>4434.4132</v>
      </c>
      <c r="F21" s="288">
        <f t="shared" si="3"/>
        <v>4726.4599999999991</v>
      </c>
      <c r="G21" s="279">
        <f t="shared" si="3"/>
        <v>957.69999999999993</v>
      </c>
      <c r="H21" s="300">
        <f t="shared" si="3"/>
        <v>1402.8599999999997</v>
      </c>
      <c r="I21" s="288">
        <f t="shared" si="3"/>
        <v>1196.2099999999996</v>
      </c>
      <c r="J21" s="288">
        <f t="shared" si="3"/>
        <v>1169.6879999999999</v>
      </c>
    </row>
    <row r="22" spans="1:10" ht="21" customHeight="1">
      <c r="A22" s="122" t="s">
        <v>300</v>
      </c>
      <c r="B22" s="102" t="s">
        <v>309</v>
      </c>
      <c r="C22" s="81">
        <f>'1.Фінансовий результат'!C106</f>
        <v>5302</v>
      </c>
      <c r="D22" s="81">
        <f>'1.Фінансовий результат'!D106</f>
        <v>6961.0000000000009</v>
      </c>
      <c r="E22" s="81">
        <f>'1.Фінансовий результат'!E106</f>
        <v>7436.7999999999993</v>
      </c>
      <c r="F22" s="309">
        <f>'1.Фінансовий результат'!F106</f>
        <v>9987.1</v>
      </c>
      <c r="G22" s="279">
        <f>'1.Фінансовий результат'!G106</f>
        <v>2133.6999999999998</v>
      </c>
      <c r="H22" s="288">
        <f>'1.Фінансовий результат'!H106</f>
        <v>2264.3000000000002</v>
      </c>
      <c r="I22" s="288">
        <f>'1.Фінансовий результат'!I106</f>
        <v>2619.5</v>
      </c>
      <c r="J22" s="288">
        <f>'1.Фінансовий результат'!J106</f>
        <v>2969.6</v>
      </c>
    </row>
    <row r="23" spans="1:10" ht="33.75" customHeight="1">
      <c r="A23" s="122" t="s">
        <v>3</v>
      </c>
      <c r="B23" s="102" t="s">
        <v>310</v>
      </c>
      <c r="C23" s="355">
        <f>'1.Фінансовий результат'!C107</f>
        <v>1145</v>
      </c>
      <c r="D23" s="309">
        <f>'1.Фінансовий результат'!D107</f>
        <v>1510.5</v>
      </c>
      <c r="E23" s="309">
        <f>'1.Фінансовий результат'!E107</f>
        <v>1636.1099999999997</v>
      </c>
      <c r="F23" s="309">
        <f>'1.Фінансовий результат'!F107</f>
        <v>2163.6</v>
      </c>
      <c r="G23" s="279">
        <f>'1.Фінансовий результат'!G107</f>
        <v>453.2</v>
      </c>
      <c r="H23" s="288">
        <f>'1.Фінансовий результат'!H107</f>
        <v>480.8</v>
      </c>
      <c r="I23" s="288">
        <f>'1.Фінансовий результат'!I107</f>
        <v>576.99</v>
      </c>
      <c r="J23" s="288">
        <f>'1.Фінансовий результат'!J107</f>
        <v>652.61199999999997</v>
      </c>
    </row>
    <row r="24" spans="1:10" ht="23.25" customHeight="1">
      <c r="A24" s="122" t="s">
        <v>301</v>
      </c>
      <c r="B24" s="102" t="s">
        <v>311</v>
      </c>
      <c r="C24" s="355">
        <v>1325.2</v>
      </c>
      <c r="D24" s="309">
        <f>'2. Розрахунки з бюджетом'!D22</f>
        <v>1503.8364520000002</v>
      </c>
      <c r="E24" s="309">
        <f>'2. Розрахунки з бюджетом'!E22</f>
        <v>1573.9759999999997</v>
      </c>
      <c r="F24" s="298">
        <f>G24+H24+I24+J24</f>
        <v>2003.34</v>
      </c>
      <c r="G24" s="288">
        <f>'2. Розрахунки з бюджетом'!G22</f>
        <v>474.6</v>
      </c>
      <c r="H24" s="300">
        <f>'2. Розрахунки з бюджетом'!H22</f>
        <v>465.24</v>
      </c>
      <c r="I24" s="299">
        <f>'2. Розрахунки з бюджетом'!I22</f>
        <v>528.20000000000005</v>
      </c>
      <c r="J24" s="299">
        <f>'2. Розрахунки з бюджетом'!J22</f>
        <v>535.29999999999995</v>
      </c>
    </row>
    <row r="25" spans="1:10" ht="37.5" customHeight="1">
      <c r="A25" s="122" t="s">
        <v>303</v>
      </c>
      <c r="B25" s="102" t="s">
        <v>312</v>
      </c>
      <c r="C25" s="355">
        <f>'2. Розрахунки з бюджетом'!C20</f>
        <v>59.7</v>
      </c>
      <c r="D25" s="309">
        <f>'2. Розрахунки з бюджетом'!D20</f>
        <v>45</v>
      </c>
      <c r="E25" s="309">
        <f>'2. Розрахунки з бюджетом'!E20</f>
        <v>95.710799999999978</v>
      </c>
      <c r="F25" s="288">
        <f>'2. Розрахунки з бюджетом'!F20</f>
        <v>58</v>
      </c>
      <c r="G25" s="239">
        <f>'2. Розрахунки з бюджетом'!G20</f>
        <v>22</v>
      </c>
      <c r="H25" s="239">
        <f>'2. Розрахунки з бюджетом'!H20</f>
        <v>26</v>
      </c>
      <c r="I25" s="288">
        <f>'2. Розрахунки з бюджетом'!I20</f>
        <v>5</v>
      </c>
      <c r="J25" s="288">
        <f>'2. Розрахунки з бюджетом'!J20</f>
        <v>5</v>
      </c>
    </row>
    <row r="26" spans="1:10" ht="21" customHeight="1">
      <c r="A26" s="122" t="s">
        <v>306</v>
      </c>
      <c r="B26" s="102" t="s">
        <v>313</v>
      </c>
      <c r="C26" s="102"/>
      <c r="D26" s="309"/>
      <c r="E26" s="309"/>
      <c r="F26" s="84"/>
      <c r="G26" s="279">
        <f>'1.Фінансовий результат'!G94</f>
        <v>0</v>
      </c>
      <c r="H26" s="288">
        <f>'1.Фінансовий результат'!H94</f>
        <v>0</v>
      </c>
      <c r="I26" s="288">
        <f>'1.Фінансовий результат'!I94</f>
        <v>0</v>
      </c>
      <c r="J26" s="288">
        <f>'1.Фінансовий результат'!J94</f>
        <v>0</v>
      </c>
    </row>
    <row r="27" spans="1:10" ht="20.100000000000001" customHeight="1">
      <c r="A27" s="99" t="s">
        <v>135</v>
      </c>
      <c r="B27" s="102">
        <v>3080</v>
      </c>
      <c r="C27" s="355">
        <f>'2. Розрахунки з бюджетом'!C19</f>
        <v>6</v>
      </c>
      <c r="D27" s="309">
        <f>'2. Розрахунки з бюджетом'!D19</f>
        <v>7.8</v>
      </c>
      <c r="E27" s="309">
        <f>'2. Розрахунки з бюджетом'!E19</f>
        <v>7.2</v>
      </c>
      <c r="F27" s="288">
        <f>'1.Фінансовий результат'!F96</f>
        <v>7.2</v>
      </c>
      <c r="G27" s="279">
        <f>'1.Фінансовий результат'!G96</f>
        <v>2.8</v>
      </c>
      <c r="H27" s="288">
        <f>'1.Фінансовий результат'!H96</f>
        <v>2.2000000000000002</v>
      </c>
      <c r="I27" s="288">
        <f>'1.Фінансовий результат'!I96</f>
        <v>1.2</v>
      </c>
      <c r="J27" s="288">
        <f>'1.Фінансовий результат'!J96</f>
        <v>1</v>
      </c>
    </row>
    <row r="28" spans="1:10" ht="31.5" customHeight="1">
      <c r="A28" s="103" t="s">
        <v>120</v>
      </c>
      <c r="B28" s="102">
        <v>3090</v>
      </c>
      <c r="C28" s="74">
        <f>'1.Фінансовий результат'!C98</f>
        <v>26.699999999999953</v>
      </c>
      <c r="D28" s="74">
        <f>'1.Фінансовий результат'!D98</f>
        <v>35.099999999999284</v>
      </c>
      <c r="E28" s="74">
        <f>'1.Фінансовий результат'!E98</f>
        <v>32.790000000001527</v>
      </c>
      <c r="F28" s="74">
        <f>F18-F20-F27</f>
        <v>29.700000000001456</v>
      </c>
      <c r="G28" s="74">
        <f>G18-G20-G27</f>
        <v>13.000000000000181</v>
      </c>
      <c r="H28" s="74">
        <f>H18-H20-H27</f>
        <v>6.9999999999998179</v>
      </c>
      <c r="I28" s="74">
        <f>I18-I20-I27</f>
        <v>5.3</v>
      </c>
      <c r="J28" s="74">
        <f>J18-J20-J27</f>
        <v>4.4000000000005457</v>
      </c>
    </row>
    <row r="29" spans="1:10" ht="33.75" customHeight="1">
      <c r="A29" s="417" t="s">
        <v>122</v>
      </c>
      <c r="B29" s="417"/>
      <c r="C29" s="417"/>
      <c r="D29" s="417"/>
      <c r="E29" s="417"/>
      <c r="F29" s="417"/>
      <c r="G29" s="417"/>
      <c r="H29" s="417"/>
      <c r="I29" s="417"/>
      <c r="J29" s="417"/>
    </row>
    <row r="30" spans="1:10" ht="21.75" customHeight="1">
      <c r="A30" s="98" t="s">
        <v>186</v>
      </c>
      <c r="B30" s="100"/>
      <c r="C30" s="100"/>
      <c r="D30" s="84"/>
      <c r="E30" s="84"/>
      <c r="F30" s="84">
        <f t="shared" ref="F30:F38" si="4">G30+H30+I30+J30</f>
        <v>0</v>
      </c>
      <c r="G30" s="84">
        <f>G31+G32+G33+G37+G38</f>
        <v>0</v>
      </c>
      <c r="H30" s="84">
        <f>H31+H32+H33+H37+H38</f>
        <v>0</v>
      </c>
      <c r="I30" s="84">
        <f>I31+I32+I33+I37+I38</f>
        <v>0</v>
      </c>
      <c r="J30" s="84">
        <f>J31+J32+J33+J37+J38</f>
        <v>0</v>
      </c>
    </row>
    <row r="31" spans="1:10" ht="33.75" customHeight="1">
      <c r="A31" s="60" t="s">
        <v>14</v>
      </c>
      <c r="B31" s="100">
        <v>3200</v>
      </c>
      <c r="C31" s="100"/>
      <c r="D31" s="85"/>
      <c r="E31" s="85"/>
      <c r="F31" s="85">
        <f t="shared" si="4"/>
        <v>0</v>
      </c>
      <c r="G31" s="85"/>
      <c r="H31" s="85"/>
      <c r="I31" s="85"/>
      <c r="J31" s="85"/>
    </row>
    <row r="32" spans="1:10" ht="39" customHeight="1">
      <c r="A32" s="60" t="s">
        <v>15</v>
      </c>
      <c r="B32" s="100">
        <v>3210</v>
      </c>
      <c r="C32" s="100"/>
      <c r="D32" s="85"/>
      <c r="E32" s="85"/>
      <c r="F32" s="85">
        <f t="shared" si="4"/>
        <v>0</v>
      </c>
      <c r="G32" s="85"/>
      <c r="H32" s="85"/>
      <c r="I32" s="85"/>
      <c r="J32" s="85"/>
    </row>
    <row r="33" spans="1:18" ht="32.25" customHeight="1">
      <c r="A33" s="60" t="s">
        <v>36</v>
      </c>
      <c r="B33" s="100">
        <v>3220</v>
      </c>
      <c r="C33" s="100"/>
      <c r="D33" s="85"/>
      <c r="E33" s="85"/>
      <c r="F33" s="85">
        <f t="shared" si="4"/>
        <v>0</v>
      </c>
      <c r="G33" s="85">
        <f>G34+G35+G36</f>
        <v>0</v>
      </c>
      <c r="H33" s="85">
        <f>H34+H35+H36</f>
        <v>0</v>
      </c>
      <c r="I33" s="85">
        <f>I34+I35+I36</f>
        <v>0</v>
      </c>
      <c r="J33" s="85">
        <f>J34+J35+J36</f>
        <v>0</v>
      </c>
    </row>
    <row r="34" spans="1:18" ht="20.100000000000001" customHeight="1">
      <c r="A34" s="99"/>
      <c r="B34" s="100"/>
      <c r="C34" s="100"/>
      <c r="D34" s="84"/>
      <c r="E34" s="84"/>
      <c r="F34" s="84">
        <f t="shared" si="4"/>
        <v>0</v>
      </c>
      <c r="G34" s="84"/>
      <c r="H34" s="84"/>
      <c r="I34" s="84"/>
      <c r="J34" s="84"/>
    </row>
    <row r="35" spans="1:18" ht="20.100000000000001" customHeight="1">
      <c r="A35" s="60" t="s">
        <v>126</v>
      </c>
      <c r="B35" s="100">
        <v>3230</v>
      </c>
      <c r="C35" s="100"/>
      <c r="D35" s="85"/>
      <c r="E35" s="85"/>
      <c r="F35" s="85">
        <f t="shared" si="4"/>
        <v>0</v>
      </c>
      <c r="G35" s="85"/>
      <c r="H35" s="85"/>
      <c r="I35" s="85"/>
      <c r="J35" s="85"/>
    </row>
    <row r="36" spans="1:18" ht="20.100000000000001" customHeight="1">
      <c r="A36" s="60" t="s">
        <v>127</v>
      </c>
      <c r="B36" s="100">
        <v>3240</v>
      </c>
      <c r="C36" s="100"/>
      <c r="D36" s="85"/>
      <c r="E36" s="85"/>
      <c r="F36" s="85">
        <f t="shared" si="4"/>
        <v>0</v>
      </c>
      <c r="G36" s="85"/>
      <c r="H36" s="85"/>
      <c r="I36" s="85"/>
      <c r="J36" s="85"/>
    </row>
    <row r="37" spans="1:18" ht="20.100000000000001" customHeight="1">
      <c r="A37" s="99" t="s">
        <v>128</v>
      </c>
      <c r="B37" s="100">
        <v>3250</v>
      </c>
      <c r="C37" s="100"/>
      <c r="D37" s="85"/>
      <c r="E37" s="85"/>
      <c r="F37" s="85">
        <f t="shared" si="4"/>
        <v>0</v>
      </c>
      <c r="G37" s="85"/>
      <c r="H37" s="85"/>
      <c r="I37" s="85"/>
      <c r="J37" s="85"/>
    </row>
    <row r="38" spans="1:18" ht="33.75" customHeight="1">
      <c r="A38" s="60" t="s">
        <v>96</v>
      </c>
      <c r="B38" s="100">
        <v>3260</v>
      </c>
      <c r="C38" s="100"/>
      <c r="D38" s="85"/>
      <c r="E38" s="85"/>
      <c r="F38" s="85">
        <f t="shared" si="4"/>
        <v>0</v>
      </c>
      <c r="G38" s="85"/>
      <c r="H38" s="85"/>
      <c r="I38" s="85"/>
      <c r="J38" s="85"/>
    </row>
    <row r="39" spans="1:18" ht="46.5" hidden="1" customHeight="1" outlineLevel="1">
      <c r="A39" s="256" t="str">
        <f>'4. Кап. інвестиції'!A13</f>
        <v xml:space="preserve">Придбання 20 контейнерів для збирання твердих побутових відходів 1,1м3 на кладовище міста </v>
      </c>
      <c r="B39" s="257"/>
      <c r="C39" s="257"/>
      <c r="D39" s="258"/>
      <c r="E39" s="258"/>
      <c r="F39" s="258"/>
      <c r="G39" s="258"/>
      <c r="H39" s="258"/>
      <c r="I39" s="258"/>
      <c r="J39" s="258"/>
    </row>
    <row r="40" spans="1:18" ht="33" hidden="1" customHeight="1" outlineLevel="1">
      <c r="A40" s="256" t="str">
        <f>'4. Кап. інвестиції'!A17</f>
        <v>Екскаватор - навантажувач "Катерпіллар"</v>
      </c>
      <c r="B40" s="257"/>
      <c r="C40" s="257"/>
      <c r="D40" s="258"/>
      <c r="E40" s="258"/>
      <c r="F40" s="258"/>
      <c r="G40" s="258"/>
      <c r="H40" s="258"/>
      <c r="I40" s="258"/>
      <c r="J40" s="258"/>
    </row>
    <row r="41" spans="1:18" ht="49.5" hidden="1" customHeight="1" outlineLevel="1">
      <c r="A41" s="256" t="str">
        <f>'4. Кап. інвестиції'!A18</f>
        <v>Мікроавтобус для транспортування до моргу померлих на судмедекспертизу</v>
      </c>
      <c r="B41" s="257"/>
      <c r="C41" s="257"/>
      <c r="D41" s="258"/>
      <c r="E41" s="258"/>
      <c r="F41" s="258"/>
      <c r="G41" s="258"/>
      <c r="H41" s="258"/>
      <c r="I41" s="258"/>
      <c r="J41" s="258"/>
    </row>
    <row r="42" spans="1:18" ht="21.75" hidden="1" customHeight="1" outlineLevel="1">
      <c r="A42" s="256" t="str">
        <f>'4. Кап. інвестиції'!A19</f>
        <v xml:space="preserve">Автобус  для супроводу </v>
      </c>
      <c r="B42" s="257"/>
      <c r="C42" s="257"/>
      <c r="D42" s="258"/>
      <c r="E42" s="258"/>
      <c r="F42" s="258"/>
      <c r="G42" s="258"/>
      <c r="H42" s="258"/>
      <c r="I42" s="258"/>
      <c r="J42" s="258"/>
    </row>
    <row r="43" spans="1:18" ht="20.100000000000001" customHeight="1" collapsed="1">
      <c r="A43" s="98" t="s">
        <v>188</v>
      </c>
      <c r="B43" s="100"/>
      <c r="C43" s="100"/>
      <c r="D43" s="84"/>
      <c r="E43" s="84"/>
      <c r="F43" s="84">
        <f t="shared" ref="F43:F48" si="5">G43+H43+I43+J43</f>
        <v>0</v>
      </c>
      <c r="G43" s="84">
        <f>G44+G45+G46+G47+G48</f>
        <v>0</v>
      </c>
      <c r="H43" s="84">
        <f>H44+H45+H46+H47+H48</f>
        <v>0</v>
      </c>
      <c r="I43" s="84">
        <f>I44+I45+I46+I47+I48</f>
        <v>0</v>
      </c>
      <c r="J43" s="84">
        <f>J44+J45+J46+J47+J48</f>
        <v>0</v>
      </c>
    </row>
    <row r="44" spans="1:18" ht="33.75" customHeight="1">
      <c r="A44" s="60" t="s">
        <v>97</v>
      </c>
      <c r="B44" s="100">
        <v>3270</v>
      </c>
      <c r="C44" s="100"/>
      <c r="D44" s="85"/>
      <c r="E44" s="85"/>
      <c r="F44" s="85">
        <f t="shared" si="5"/>
        <v>0</v>
      </c>
      <c r="G44" s="85"/>
      <c r="H44" s="85"/>
      <c r="I44" s="85"/>
      <c r="J44" s="85"/>
    </row>
    <row r="45" spans="1:18" ht="36" customHeight="1">
      <c r="A45" s="60" t="s">
        <v>98</v>
      </c>
      <c r="B45" s="100">
        <v>3280</v>
      </c>
      <c r="C45" s="100"/>
      <c r="D45" s="85"/>
      <c r="E45" s="85"/>
      <c r="F45" s="85">
        <f t="shared" si="5"/>
        <v>0</v>
      </c>
      <c r="G45" s="85"/>
      <c r="H45" s="85"/>
      <c r="I45" s="85"/>
      <c r="J45" s="85"/>
    </row>
    <row r="46" spans="1:18" ht="44.25" customHeight="1">
      <c r="A46" s="60" t="s">
        <v>99</v>
      </c>
      <c r="B46" s="100">
        <v>3290</v>
      </c>
      <c r="C46" s="100"/>
      <c r="D46" s="85"/>
      <c r="E46" s="85"/>
      <c r="F46" s="85">
        <f t="shared" si="5"/>
        <v>0</v>
      </c>
      <c r="G46" s="85"/>
      <c r="H46" s="85"/>
      <c r="I46" s="85"/>
      <c r="J46" s="85"/>
    </row>
    <row r="47" spans="1:18" ht="20.100000000000001" customHeight="1">
      <c r="A47" s="60" t="s">
        <v>37</v>
      </c>
      <c r="B47" s="100">
        <v>3300</v>
      </c>
      <c r="C47" s="100"/>
      <c r="D47" s="104"/>
      <c r="E47" s="104"/>
      <c r="F47" s="104">
        <f t="shared" si="5"/>
        <v>0</v>
      </c>
      <c r="G47" s="104"/>
      <c r="H47" s="104"/>
      <c r="I47" s="104"/>
      <c r="J47" s="104"/>
      <c r="R47" s="24"/>
    </row>
    <row r="48" spans="1:18" ht="20.100000000000001" customHeight="1">
      <c r="A48" s="60" t="s">
        <v>90</v>
      </c>
      <c r="B48" s="100">
        <v>3310</v>
      </c>
      <c r="C48" s="100"/>
      <c r="D48" s="85"/>
      <c r="E48" s="85"/>
      <c r="F48" s="85">
        <f t="shared" si="5"/>
        <v>0</v>
      </c>
      <c r="G48" s="85"/>
      <c r="H48" s="85"/>
      <c r="I48" s="85"/>
      <c r="J48" s="85"/>
    </row>
    <row r="49" spans="1:10" ht="38.25" customHeight="1">
      <c r="A49" s="98" t="s">
        <v>123</v>
      </c>
      <c r="B49" s="319">
        <v>3320</v>
      </c>
      <c r="C49" s="319"/>
      <c r="D49" s="85"/>
      <c r="E49" s="85"/>
      <c r="F49" s="84">
        <f>G49+H49+I49+J49</f>
        <v>0</v>
      </c>
      <c r="G49" s="85"/>
      <c r="H49" s="85">
        <v>0</v>
      </c>
      <c r="I49" s="85"/>
      <c r="J49" s="85"/>
    </row>
    <row r="50" spans="1:10" ht="36.75" customHeight="1">
      <c r="A50" s="417" t="s">
        <v>124</v>
      </c>
      <c r="B50" s="417"/>
      <c r="C50" s="417"/>
      <c r="D50" s="417"/>
      <c r="E50" s="417"/>
      <c r="F50" s="417"/>
      <c r="G50" s="417"/>
      <c r="H50" s="417"/>
      <c r="I50" s="417"/>
      <c r="J50" s="417"/>
    </row>
    <row r="51" spans="1:10" ht="20.100000000000001" customHeight="1">
      <c r="A51" s="98" t="s">
        <v>187</v>
      </c>
      <c r="B51" s="100"/>
      <c r="C51" s="100"/>
      <c r="D51" s="53"/>
      <c r="E51" s="53"/>
      <c r="F51" s="112">
        <f>G51+H51+I51+J51</f>
        <v>5.7</v>
      </c>
      <c r="G51" s="112">
        <f>G52+G53+G57+G61+G62</f>
        <v>0</v>
      </c>
      <c r="H51" s="112">
        <f>H52+H53+H57+H61+H62</f>
        <v>5.7</v>
      </c>
      <c r="I51" s="112">
        <f>I52+I53+I57+I61+I62</f>
        <v>0</v>
      </c>
      <c r="J51" s="112">
        <f>J52+J53+J57+J61+J62</f>
        <v>0</v>
      </c>
    </row>
    <row r="52" spans="1:10" ht="20.25" customHeight="1">
      <c r="A52" s="99" t="s">
        <v>129</v>
      </c>
      <c r="B52" s="100">
        <v>3400</v>
      </c>
      <c r="C52" s="100"/>
      <c r="D52" s="84"/>
      <c r="E52" s="84"/>
      <c r="F52" s="84">
        <f>G52+H52+I52+J52</f>
        <v>0</v>
      </c>
      <c r="G52" s="84"/>
      <c r="H52" s="84"/>
      <c r="I52" s="84"/>
      <c r="J52" s="84"/>
    </row>
    <row r="53" spans="1:10" ht="47.25" customHeight="1">
      <c r="A53" s="60" t="s">
        <v>73</v>
      </c>
      <c r="B53" s="105"/>
      <c r="C53" s="105"/>
      <c r="D53" s="53"/>
      <c r="E53" s="53"/>
      <c r="F53" s="84">
        <f>G53+H53+I53+J53</f>
        <v>0</v>
      </c>
      <c r="G53" s="53">
        <v>0</v>
      </c>
      <c r="H53" s="84">
        <v>0</v>
      </c>
      <c r="I53" s="53"/>
      <c r="J53" s="53"/>
    </row>
    <row r="54" spans="1:10" ht="20.100000000000001" customHeight="1">
      <c r="A54" s="60" t="s">
        <v>72</v>
      </c>
      <c r="B54" s="100">
        <v>3410</v>
      </c>
      <c r="C54" s="100"/>
      <c r="D54" s="84"/>
      <c r="E54" s="84"/>
      <c r="F54" s="84">
        <f t="shared" ref="F54:F74" si="6">G54+H54+I54+J54</f>
        <v>0</v>
      </c>
      <c r="G54" s="84"/>
      <c r="H54" s="84"/>
      <c r="I54" s="84"/>
      <c r="J54" s="84"/>
    </row>
    <row r="55" spans="1:10" ht="20.100000000000001" customHeight="1">
      <c r="A55" s="60" t="s">
        <v>77</v>
      </c>
      <c r="B55" s="102">
        <v>3420</v>
      </c>
      <c r="C55" s="102"/>
      <c r="D55" s="84"/>
      <c r="E55" s="84"/>
      <c r="F55" s="84">
        <f t="shared" si="6"/>
        <v>0</v>
      </c>
      <c r="G55" s="84"/>
      <c r="H55" s="84"/>
      <c r="I55" s="84"/>
      <c r="J55" s="84"/>
    </row>
    <row r="56" spans="1:10" ht="20.100000000000001" customHeight="1">
      <c r="A56" s="60" t="s">
        <v>100</v>
      </c>
      <c r="B56" s="100">
        <v>3430</v>
      </c>
      <c r="C56" s="100"/>
      <c r="D56" s="84"/>
      <c r="E56" s="84"/>
      <c r="F56" s="84">
        <f t="shared" si="6"/>
        <v>0</v>
      </c>
      <c r="G56" s="84"/>
      <c r="H56" s="84"/>
      <c r="I56" s="84"/>
      <c r="J56" s="84"/>
    </row>
    <row r="57" spans="1:10" ht="48.75" customHeight="1">
      <c r="A57" s="60" t="s">
        <v>75</v>
      </c>
      <c r="B57" s="100"/>
      <c r="C57" s="100"/>
      <c r="D57" s="53"/>
      <c r="E57" s="53"/>
      <c r="F57" s="84">
        <f t="shared" si="6"/>
        <v>5.7</v>
      </c>
      <c r="G57" s="53">
        <v>0</v>
      </c>
      <c r="H57" s="84">
        <v>5.7</v>
      </c>
      <c r="I57" s="316"/>
      <c r="J57" s="316"/>
    </row>
    <row r="58" spans="1:10" ht="20.100000000000001" customHeight="1">
      <c r="A58" s="60" t="s">
        <v>72</v>
      </c>
      <c r="B58" s="102">
        <v>3440</v>
      </c>
      <c r="C58" s="102"/>
      <c r="D58" s="84"/>
      <c r="E58" s="84"/>
      <c r="F58" s="84">
        <f t="shared" si="6"/>
        <v>0</v>
      </c>
      <c r="G58" s="84"/>
      <c r="H58" s="84"/>
      <c r="I58" s="84"/>
      <c r="J58" s="84"/>
    </row>
    <row r="59" spans="1:10" ht="20.100000000000001" customHeight="1">
      <c r="A59" s="60" t="s">
        <v>77</v>
      </c>
      <c r="B59" s="102">
        <v>3450</v>
      </c>
      <c r="C59" s="102"/>
      <c r="D59" s="84"/>
      <c r="E59" s="84"/>
      <c r="F59" s="84">
        <f t="shared" si="6"/>
        <v>0</v>
      </c>
      <c r="G59" s="84"/>
      <c r="H59" s="84"/>
      <c r="I59" s="84"/>
      <c r="J59" s="84"/>
    </row>
    <row r="60" spans="1:10" ht="20.100000000000001" customHeight="1">
      <c r="A60" s="60" t="s">
        <v>100</v>
      </c>
      <c r="B60" s="102">
        <v>3460</v>
      </c>
      <c r="C60" s="102"/>
      <c r="D60" s="84"/>
      <c r="E60" s="84"/>
      <c r="F60" s="84">
        <f t="shared" si="6"/>
        <v>0</v>
      </c>
      <c r="G60" s="84"/>
      <c r="H60" s="84"/>
      <c r="I60" s="84"/>
      <c r="J60" s="84"/>
    </row>
    <row r="61" spans="1:10" ht="30" customHeight="1">
      <c r="A61" s="60" t="s">
        <v>95</v>
      </c>
      <c r="B61" s="102">
        <v>3470</v>
      </c>
      <c r="C61" s="102"/>
      <c r="D61" s="84"/>
      <c r="E61" s="84"/>
      <c r="F61" s="84">
        <f t="shared" si="6"/>
        <v>0</v>
      </c>
      <c r="G61" s="84"/>
      <c r="H61" s="84"/>
      <c r="I61" s="84"/>
      <c r="J61" s="84"/>
    </row>
    <row r="62" spans="1:10" ht="37.5" customHeight="1">
      <c r="A62" s="60" t="s">
        <v>96</v>
      </c>
      <c r="B62" s="102">
        <v>3480</v>
      </c>
      <c r="C62" s="102"/>
      <c r="D62" s="84"/>
      <c r="E62" s="84"/>
      <c r="F62" s="84">
        <f t="shared" si="6"/>
        <v>0</v>
      </c>
      <c r="G62" s="84"/>
      <c r="H62" s="84"/>
      <c r="I62" s="84"/>
      <c r="J62" s="84"/>
    </row>
    <row r="63" spans="1:10" ht="20.100000000000001" customHeight="1">
      <c r="A63" s="98" t="s">
        <v>188</v>
      </c>
      <c r="B63" s="100"/>
      <c r="C63" s="100"/>
      <c r="D63" s="53"/>
      <c r="E63" s="53"/>
      <c r="F63" s="84">
        <f t="shared" si="6"/>
        <v>0</v>
      </c>
      <c r="G63" s="53"/>
      <c r="H63" s="53"/>
      <c r="I63" s="53"/>
      <c r="J63" s="53"/>
    </row>
    <row r="64" spans="1:10" ht="51.75" customHeight="1">
      <c r="A64" s="60" t="s">
        <v>200</v>
      </c>
      <c r="B64" s="100">
        <v>3490</v>
      </c>
      <c r="C64" s="100"/>
      <c r="D64" s="84"/>
      <c r="E64" s="84"/>
      <c r="F64" s="84">
        <f t="shared" si="6"/>
        <v>0</v>
      </c>
      <c r="G64" s="84"/>
      <c r="H64" s="84"/>
      <c r="I64" s="84"/>
      <c r="J64" s="84"/>
    </row>
    <row r="65" spans="1:10" ht="33" customHeight="1">
      <c r="A65" s="60" t="s">
        <v>201</v>
      </c>
      <c r="B65" s="100">
        <v>3500</v>
      </c>
      <c r="C65" s="100"/>
      <c r="D65" s="84"/>
      <c r="E65" s="84"/>
      <c r="F65" s="84">
        <f t="shared" si="6"/>
        <v>0</v>
      </c>
      <c r="G65" s="84"/>
      <c r="H65" s="84"/>
      <c r="I65" s="84"/>
      <c r="J65" s="84"/>
    </row>
    <row r="66" spans="1:10" ht="45" customHeight="1">
      <c r="A66" s="60" t="s">
        <v>76</v>
      </c>
      <c r="B66" s="100"/>
      <c r="C66" s="100"/>
      <c r="D66" s="53"/>
      <c r="E66" s="53"/>
      <c r="F66" s="84">
        <f t="shared" si="6"/>
        <v>0</v>
      </c>
      <c r="G66" s="53"/>
      <c r="H66" s="53"/>
      <c r="I66" s="53"/>
      <c r="J66" s="53"/>
    </row>
    <row r="67" spans="1:10" ht="20.100000000000001" customHeight="1">
      <c r="A67" s="60" t="s">
        <v>72</v>
      </c>
      <c r="B67" s="102">
        <v>3510</v>
      </c>
      <c r="C67" s="102"/>
      <c r="D67" s="84"/>
      <c r="E67" s="84"/>
      <c r="F67" s="84">
        <f t="shared" si="6"/>
        <v>0</v>
      </c>
      <c r="G67" s="84"/>
      <c r="H67" s="84"/>
      <c r="I67" s="84"/>
      <c r="J67" s="84"/>
    </row>
    <row r="68" spans="1:10" ht="20.100000000000001" customHeight="1">
      <c r="A68" s="60" t="s">
        <v>77</v>
      </c>
      <c r="B68" s="102">
        <v>3520</v>
      </c>
      <c r="C68" s="102"/>
      <c r="D68" s="84"/>
      <c r="E68" s="84"/>
      <c r="F68" s="84">
        <f t="shared" si="6"/>
        <v>0</v>
      </c>
      <c r="G68" s="84"/>
      <c r="H68" s="84"/>
      <c r="I68" s="84"/>
      <c r="J68" s="84"/>
    </row>
    <row r="69" spans="1:10" ht="20.100000000000001" customHeight="1">
      <c r="A69" s="60" t="s">
        <v>100</v>
      </c>
      <c r="B69" s="102">
        <v>3530</v>
      </c>
      <c r="C69" s="102"/>
      <c r="D69" s="84"/>
      <c r="E69" s="84"/>
      <c r="F69" s="84">
        <f t="shared" si="6"/>
        <v>0</v>
      </c>
      <c r="G69" s="84"/>
      <c r="H69" s="84"/>
      <c r="I69" s="84"/>
      <c r="J69" s="84"/>
    </row>
    <row r="70" spans="1:10" ht="51.75" customHeight="1">
      <c r="A70" s="60" t="s">
        <v>74</v>
      </c>
      <c r="B70" s="100"/>
      <c r="C70" s="100"/>
      <c r="D70" s="53"/>
      <c r="E70" s="53"/>
      <c r="F70" s="84">
        <f t="shared" si="6"/>
        <v>0</v>
      </c>
      <c r="G70" s="53"/>
      <c r="H70" s="53"/>
      <c r="I70" s="53"/>
      <c r="J70" s="53"/>
    </row>
    <row r="71" spans="1:10" ht="20.100000000000001" customHeight="1">
      <c r="A71" s="60" t="s">
        <v>72</v>
      </c>
      <c r="B71" s="102">
        <v>3540</v>
      </c>
      <c r="C71" s="102"/>
      <c r="D71" s="84"/>
      <c r="E71" s="84"/>
      <c r="F71" s="84">
        <f t="shared" si="6"/>
        <v>0</v>
      </c>
      <c r="G71" s="84"/>
      <c r="H71" s="84"/>
      <c r="I71" s="84"/>
      <c r="J71" s="84"/>
    </row>
    <row r="72" spans="1:10" ht="20.100000000000001" customHeight="1">
      <c r="A72" s="60" t="s">
        <v>77</v>
      </c>
      <c r="B72" s="102">
        <v>3550</v>
      </c>
      <c r="C72" s="102"/>
      <c r="D72" s="84"/>
      <c r="E72" s="84"/>
      <c r="F72" s="84">
        <f t="shared" si="6"/>
        <v>0</v>
      </c>
      <c r="G72" s="84"/>
      <c r="H72" s="84"/>
      <c r="I72" s="84"/>
      <c r="J72" s="84"/>
    </row>
    <row r="73" spans="1:10" ht="19.5" customHeight="1">
      <c r="A73" s="60" t="s">
        <v>100</v>
      </c>
      <c r="B73" s="102">
        <v>3560</v>
      </c>
      <c r="C73" s="102"/>
      <c r="D73" s="84"/>
      <c r="E73" s="84"/>
      <c r="F73" s="84">
        <f t="shared" si="6"/>
        <v>0</v>
      </c>
      <c r="G73" s="84"/>
      <c r="H73" s="84"/>
      <c r="I73" s="84"/>
      <c r="J73" s="84"/>
    </row>
    <row r="74" spans="1:10" ht="20.100000000000001" customHeight="1">
      <c r="A74" s="60" t="s">
        <v>90</v>
      </c>
      <c r="B74" s="102">
        <v>3570</v>
      </c>
      <c r="C74" s="102"/>
      <c r="D74" s="84"/>
      <c r="E74" s="84"/>
      <c r="F74" s="84">
        <f t="shared" si="6"/>
        <v>0</v>
      </c>
      <c r="G74" s="84"/>
      <c r="H74" s="84"/>
      <c r="I74" s="84"/>
      <c r="J74" s="84"/>
    </row>
    <row r="75" spans="1:10" ht="36" customHeight="1">
      <c r="A75" s="98" t="s">
        <v>125</v>
      </c>
      <c r="B75" s="102">
        <v>3580</v>
      </c>
      <c r="C75" s="102"/>
      <c r="D75" s="84"/>
      <c r="E75" s="84"/>
      <c r="F75" s="84">
        <f>G75+H75+I75+J75</f>
        <v>5.7</v>
      </c>
      <c r="G75" s="84">
        <v>0</v>
      </c>
      <c r="H75" s="84">
        <f>H51-H63</f>
        <v>5.7</v>
      </c>
      <c r="I75" s="84">
        <f>I51-I63</f>
        <v>0</v>
      </c>
      <c r="J75" s="84">
        <f>J51-J63</f>
        <v>0</v>
      </c>
    </row>
    <row r="76" spans="1:10" s="13" customFormat="1" ht="20.100000000000001" customHeight="1">
      <c r="A76" s="60" t="s">
        <v>16</v>
      </c>
      <c r="B76" s="102"/>
      <c r="C76" s="84">
        <f t="shared" ref="C76:J76" si="7">C77+C79</f>
        <v>196</v>
      </c>
      <c r="D76" s="84">
        <f t="shared" si="7"/>
        <v>585</v>
      </c>
      <c r="E76" s="84">
        <f t="shared" si="7"/>
        <v>152.79000000000153</v>
      </c>
      <c r="F76" s="84">
        <f t="shared" si="7"/>
        <v>925.7</v>
      </c>
      <c r="G76" s="84">
        <f t="shared" si="7"/>
        <v>909</v>
      </c>
      <c r="H76" s="84">
        <f t="shared" si="7"/>
        <v>929</v>
      </c>
      <c r="I76" s="84">
        <f t="shared" si="7"/>
        <v>941.3</v>
      </c>
      <c r="J76" s="84">
        <f t="shared" si="7"/>
        <v>951</v>
      </c>
    </row>
    <row r="77" spans="1:10" s="72" customFormat="1" ht="20.100000000000001" customHeight="1">
      <c r="A77" s="106" t="s">
        <v>17</v>
      </c>
      <c r="B77" s="107">
        <v>3600</v>
      </c>
      <c r="C77" s="368">
        <v>59</v>
      </c>
      <c r="D77" s="108">
        <v>137</v>
      </c>
      <c r="E77" s="108">
        <v>60</v>
      </c>
      <c r="F77" s="108">
        <f>D79</f>
        <v>448</v>
      </c>
      <c r="G77" s="108">
        <f>D79</f>
        <v>448</v>
      </c>
      <c r="H77" s="108">
        <f>G79</f>
        <v>461</v>
      </c>
      <c r="I77" s="108">
        <f>H79</f>
        <v>468</v>
      </c>
      <c r="J77" s="108">
        <f>I79</f>
        <v>473.3</v>
      </c>
    </row>
    <row r="78" spans="1:10" s="13" customFormat="1" ht="38.25" customHeight="1">
      <c r="A78" s="109" t="s">
        <v>130</v>
      </c>
      <c r="B78" s="102">
        <v>3610</v>
      </c>
      <c r="C78" s="369"/>
      <c r="D78" s="110"/>
      <c r="E78" s="110"/>
      <c r="F78" s="110"/>
      <c r="G78" s="110"/>
      <c r="H78" s="110"/>
      <c r="I78" s="110"/>
      <c r="J78" s="110"/>
    </row>
    <row r="79" spans="1:10" s="72" customFormat="1" ht="20.100000000000001" customHeight="1">
      <c r="A79" s="106" t="s">
        <v>38</v>
      </c>
      <c r="B79" s="107">
        <v>3620</v>
      </c>
      <c r="C79" s="368">
        <v>137</v>
      </c>
      <c r="D79" s="108">
        <v>448</v>
      </c>
      <c r="E79" s="108">
        <f t="shared" ref="E79" si="8">E80+E77+E78</f>
        <v>92.790000000001527</v>
      </c>
      <c r="F79" s="108">
        <f t="shared" ref="F79:J79" si="9">F80+F77+F78</f>
        <v>477.7</v>
      </c>
      <c r="G79" s="108">
        <f t="shared" si="9"/>
        <v>461</v>
      </c>
      <c r="H79" s="108">
        <f t="shared" si="9"/>
        <v>468</v>
      </c>
      <c r="I79" s="108">
        <f t="shared" si="9"/>
        <v>473.3</v>
      </c>
      <c r="J79" s="108">
        <f t="shared" si="9"/>
        <v>477.7</v>
      </c>
    </row>
    <row r="80" spans="1:10" s="13" customFormat="1" ht="24" customHeight="1">
      <c r="A80" s="103" t="s">
        <v>18</v>
      </c>
      <c r="B80" s="111">
        <v>3630</v>
      </c>
      <c r="C80" s="341">
        <v>26.7</v>
      </c>
      <c r="D80" s="112">
        <f>'1.Фінансовий результат'!D98</f>
        <v>35.099999999999284</v>
      </c>
      <c r="E80" s="112">
        <f>'1.Фінансовий результат'!E98</f>
        <v>32.790000000001527</v>
      </c>
      <c r="F80" s="112">
        <f>'1.Фінансовий результат'!F98</f>
        <v>29.7</v>
      </c>
      <c r="G80" s="112">
        <f>'1.Фінансовий результат'!G98</f>
        <v>13</v>
      </c>
      <c r="H80" s="112">
        <f>'1.Фінансовий результат'!H98</f>
        <v>7</v>
      </c>
      <c r="I80" s="112">
        <f>'1.Фінансовий результат'!I98</f>
        <v>5.3</v>
      </c>
      <c r="J80" s="112">
        <f>'1.Фінансовий результат'!J98</f>
        <v>4.4000000000000004</v>
      </c>
    </row>
    <row r="81" spans="1:10" s="13" customFormat="1" ht="20.100000000000001" customHeight="1">
      <c r="A81" s="15"/>
      <c r="B81" s="113"/>
      <c r="C81" s="113"/>
      <c r="D81" s="114"/>
      <c r="E81" s="114"/>
      <c r="F81" s="114"/>
      <c r="G81" s="114"/>
      <c r="H81" s="114"/>
      <c r="I81" s="114"/>
      <c r="J81" s="114"/>
    </row>
    <row r="82" spans="1:10" s="13" customFormat="1" ht="20.100000000000001" customHeight="1">
      <c r="A82" s="15"/>
      <c r="B82" s="113"/>
      <c r="C82" s="113"/>
      <c r="D82" s="114"/>
      <c r="E82" s="114"/>
      <c r="F82" s="114"/>
      <c r="G82" s="114"/>
      <c r="H82" s="114"/>
      <c r="I82" s="114"/>
      <c r="J82" s="114"/>
    </row>
    <row r="83" spans="1:10" s="3" customFormat="1" ht="20.100000000000001" customHeight="1">
      <c r="A83" s="268" t="s">
        <v>265</v>
      </c>
      <c r="B83" s="115"/>
      <c r="C83" s="115"/>
      <c r="D83" s="419" t="s">
        <v>85</v>
      </c>
      <c r="E83" s="419"/>
      <c r="F83" s="296"/>
      <c r="G83" s="418" t="s">
        <v>317</v>
      </c>
      <c r="H83" s="418"/>
      <c r="I83" s="418"/>
      <c r="J83" s="296"/>
    </row>
    <row r="84" spans="1:10" s="318" customFormat="1" ht="20.100000000000001" customHeight="1">
      <c r="A84" s="314" t="s">
        <v>391</v>
      </c>
      <c r="B84" s="315"/>
      <c r="C84" s="315"/>
      <c r="D84" s="315" t="s">
        <v>62</v>
      </c>
      <c r="E84" s="315"/>
      <c r="F84" s="315"/>
      <c r="G84" s="412" t="s">
        <v>81</v>
      </c>
      <c r="H84" s="412"/>
      <c r="I84" s="412"/>
      <c r="J84" s="315"/>
    </row>
    <row r="85" spans="1:10">
      <c r="D85" s="4"/>
      <c r="E85" s="4"/>
      <c r="F85" s="277"/>
      <c r="G85" s="277"/>
      <c r="H85" s="277"/>
      <c r="I85" s="277"/>
      <c r="J85" s="277"/>
    </row>
    <row r="86" spans="1:10">
      <c r="D86" s="4"/>
      <c r="E86" s="4"/>
      <c r="F86" s="277"/>
      <c r="G86" s="277"/>
      <c r="H86" s="277"/>
      <c r="I86" s="277"/>
      <c r="J86" s="277"/>
    </row>
    <row r="87" spans="1:10">
      <c r="D87" s="4"/>
      <c r="E87" s="4"/>
      <c r="F87" s="277"/>
      <c r="G87" s="277"/>
      <c r="H87" s="277"/>
      <c r="I87" s="277"/>
      <c r="J87" s="277"/>
    </row>
    <row r="88" spans="1:10">
      <c r="D88" s="4"/>
      <c r="E88" s="4"/>
      <c r="F88" s="277"/>
      <c r="G88" s="277"/>
      <c r="H88" s="277"/>
      <c r="I88" s="277"/>
      <c r="J88" s="277"/>
    </row>
    <row r="89" spans="1:10">
      <c r="D89" s="4"/>
      <c r="E89" s="4"/>
      <c r="F89" s="277"/>
      <c r="G89" s="277"/>
      <c r="H89" s="277"/>
      <c r="I89" s="277"/>
      <c r="J89" s="277"/>
    </row>
    <row r="90" spans="1:10">
      <c r="D90" s="4"/>
      <c r="E90" s="4"/>
      <c r="F90" s="277"/>
      <c r="G90" s="277"/>
      <c r="H90" s="277"/>
      <c r="I90" s="277"/>
      <c r="J90" s="277"/>
    </row>
    <row r="91" spans="1:10">
      <c r="D91" s="4"/>
      <c r="E91" s="4"/>
      <c r="F91" s="277"/>
      <c r="G91" s="277"/>
      <c r="H91" s="277"/>
      <c r="I91" s="277"/>
      <c r="J91" s="277"/>
    </row>
    <row r="92" spans="1:10">
      <c r="D92" s="4"/>
      <c r="E92" s="4"/>
      <c r="F92" s="277"/>
      <c r="G92" s="277"/>
      <c r="H92" s="277"/>
      <c r="I92" s="277"/>
      <c r="J92" s="277"/>
    </row>
    <row r="93" spans="1:10">
      <c r="D93" s="4"/>
      <c r="E93" s="4"/>
      <c r="F93" s="277"/>
      <c r="G93" s="277"/>
      <c r="H93" s="277"/>
      <c r="I93" s="277"/>
      <c r="J93" s="277"/>
    </row>
    <row r="94" spans="1:10">
      <c r="D94" s="4"/>
      <c r="E94" s="4"/>
      <c r="F94" s="277"/>
      <c r="G94" s="277"/>
      <c r="H94" s="277"/>
      <c r="I94" s="277"/>
      <c r="J94" s="277"/>
    </row>
    <row r="95" spans="1:10">
      <c r="D95" s="4"/>
      <c r="E95" s="4"/>
      <c r="F95" s="277"/>
      <c r="G95" s="277"/>
      <c r="H95" s="277"/>
      <c r="I95" s="277"/>
      <c r="J95" s="277"/>
    </row>
    <row r="96" spans="1:10">
      <c r="D96" s="4"/>
      <c r="E96" s="4"/>
      <c r="F96" s="277"/>
      <c r="G96" s="277"/>
      <c r="H96" s="277"/>
      <c r="I96" s="277"/>
      <c r="J96" s="277"/>
    </row>
    <row r="97" spans="4:10">
      <c r="D97" s="4"/>
      <c r="E97" s="4"/>
      <c r="F97" s="277"/>
      <c r="G97" s="277"/>
      <c r="H97" s="277"/>
      <c r="I97" s="277"/>
      <c r="J97" s="277"/>
    </row>
    <row r="98" spans="4:10">
      <c r="D98" s="4"/>
      <c r="E98" s="4"/>
      <c r="F98" s="277"/>
      <c r="G98" s="277"/>
      <c r="H98" s="277"/>
      <c r="I98" s="277"/>
      <c r="J98" s="277"/>
    </row>
    <row r="99" spans="4:10">
      <c r="D99" s="4"/>
      <c r="E99" s="4"/>
      <c r="F99" s="277"/>
      <c r="G99" s="277"/>
      <c r="H99" s="277"/>
      <c r="I99" s="277"/>
      <c r="J99" s="277"/>
    </row>
    <row r="100" spans="4:10">
      <c r="D100" s="4"/>
      <c r="E100" s="4"/>
      <c r="F100" s="277"/>
      <c r="G100" s="277"/>
      <c r="H100" s="277"/>
      <c r="I100" s="277"/>
      <c r="J100" s="277"/>
    </row>
    <row r="101" spans="4:10">
      <c r="D101" s="4"/>
      <c r="E101" s="4"/>
      <c r="F101" s="277"/>
      <c r="G101" s="277"/>
      <c r="H101" s="277"/>
      <c r="I101" s="277"/>
      <c r="J101" s="277"/>
    </row>
    <row r="102" spans="4:10">
      <c r="D102" s="4"/>
      <c r="E102" s="4"/>
      <c r="F102" s="277"/>
      <c r="G102" s="277"/>
      <c r="H102" s="277"/>
      <c r="I102" s="277"/>
      <c r="J102" s="277"/>
    </row>
    <row r="103" spans="4:10">
      <c r="D103" s="4"/>
      <c r="E103" s="4"/>
      <c r="F103" s="277"/>
      <c r="G103" s="277"/>
      <c r="H103" s="277"/>
      <c r="I103" s="277"/>
      <c r="J103" s="277"/>
    </row>
    <row r="104" spans="4:10">
      <c r="D104" s="4"/>
      <c r="E104" s="4"/>
      <c r="F104" s="277"/>
      <c r="G104" s="277"/>
      <c r="H104" s="277"/>
      <c r="I104" s="277"/>
      <c r="J104" s="277"/>
    </row>
    <row r="105" spans="4:10">
      <c r="D105" s="4"/>
      <c r="E105" s="4"/>
      <c r="F105" s="277"/>
      <c r="G105" s="277"/>
      <c r="H105" s="277"/>
      <c r="I105" s="277"/>
      <c r="J105" s="277"/>
    </row>
    <row r="106" spans="4:10">
      <c r="D106" s="4"/>
      <c r="E106" s="4"/>
      <c r="F106" s="277"/>
      <c r="G106" s="277"/>
      <c r="H106" s="277"/>
      <c r="I106" s="277"/>
      <c r="J106" s="277"/>
    </row>
    <row r="107" spans="4:10">
      <c r="D107" s="4"/>
      <c r="E107" s="4"/>
      <c r="F107" s="277"/>
      <c r="G107" s="277"/>
      <c r="H107" s="277"/>
      <c r="I107" s="277"/>
      <c r="J107" s="277"/>
    </row>
    <row r="108" spans="4:10">
      <c r="D108" s="4"/>
      <c r="E108" s="4"/>
      <c r="F108" s="277"/>
      <c r="G108" s="277"/>
      <c r="H108" s="277"/>
      <c r="I108" s="277"/>
      <c r="J108" s="277"/>
    </row>
    <row r="109" spans="4:10">
      <c r="D109" s="4"/>
      <c r="E109" s="4"/>
      <c r="F109" s="277"/>
      <c r="G109" s="277"/>
      <c r="H109" s="277"/>
      <c r="I109" s="277"/>
      <c r="J109" s="277"/>
    </row>
    <row r="110" spans="4:10">
      <c r="D110" s="4"/>
      <c r="E110" s="4"/>
      <c r="F110" s="277"/>
      <c r="G110" s="277"/>
      <c r="H110" s="277"/>
      <c r="I110" s="277"/>
      <c r="J110" s="277"/>
    </row>
    <row r="111" spans="4:10">
      <c r="D111" s="4"/>
      <c r="E111" s="4"/>
      <c r="F111" s="277"/>
      <c r="G111" s="277"/>
      <c r="H111" s="277"/>
      <c r="I111" s="277"/>
      <c r="J111" s="277"/>
    </row>
    <row r="112" spans="4:10">
      <c r="D112" s="4"/>
      <c r="E112" s="4"/>
      <c r="F112" s="277"/>
      <c r="G112" s="277"/>
      <c r="H112" s="277"/>
      <c r="I112" s="277"/>
      <c r="J112" s="277"/>
    </row>
    <row r="113" spans="4:10">
      <c r="D113" s="4"/>
      <c r="E113" s="4"/>
      <c r="F113" s="277"/>
      <c r="G113" s="277"/>
      <c r="H113" s="277"/>
      <c r="I113" s="277"/>
      <c r="J113" s="277"/>
    </row>
    <row r="114" spans="4:10">
      <c r="D114" s="4"/>
      <c r="E114" s="4"/>
      <c r="F114" s="277"/>
      <c r="G114" s="277"/>
      <c r="H114" s="277"/>
      <c r="I114" s="277"/>
      <c r="J114" s="277"/>
    </row>
    <row r="115" spans="4:10">
      <c r="D115" s="4"/>
      <c r="E115" s="4"/>
      <c r="F115" s="277"/>
      <c r="G115" s="277"/>
      <c r="H115" s="277"/>
      <c r="I115" s="277"/>
      <c r="J115" s="277"/>
    </row>
  </sheetData>
  <mergeCells count="14">
    <mergeCell ref="A29:J29"/>
    <mergeCell ref="A7:J7"/>
    <mergeCell ref="A50:J50"/>
    <mergeCell ref="G83:I83"/>
    <mergeCell ref="G84:I84"/>
    <mergeCell ref="D83:E83"/>
    <mergeCell ref="A2:J2"/>
    <mergeCell ref="A4:A5"/>
    <mergeCell ref="B4:B5"/>
    <mergeCell ref="D4:D5"/>
    <mergeCell ref="E4:E5"/>
    <mergeCell ref="F4:F5"/>
    <mergeCell ref="G4:J4"/>
    <mergeCell ref="C4:C5"/>
  </mergeCells>
  <phoneticPr fontId="3" type="noConversion"/>
  <printOptions horizontalCentered="1"/>
  <pageMargins left="0.70866141732283472" right="0.19685039370078741" top="0.78740157480314965" bottom="0.52" header="0.19685039370078741" footer="0.23622047244094491"/>
  <pageSetup paperSize="9" scale="60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4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N194"/>
  <sheetViews>
    <sheetView view="pageBreakPreview" topLeftCell="A17" zoomScale="73" zoomScaleNormal="57" zoomScaleSheetLayoutView="73" workbookViewId="0">
      <selection activeCell="H9" sqref="H9"/>
    </sheetView>
  </sheetViews>
  <sheetFormatPr defaultRowHeight="18.75" outlineLevelRow="1"/>
  <cols>
    <col min="1" max="1" width="54.7109375" style="3" customWidth="1"/>
    <col min="2" max="3" width="10.42578125" style="20" customWidth="1"/>
    <col min="4" max="4" width="13.140625" style="20" customWidth="1"/>
    <col min="5" max="5" width="18.42578125" style="20" customWidth="1"/>
    <col min="6" max="6" width="12" style="20" customWidth="1"/>
    <col min="7" max="7" width="11.85546875" style="20" customWidth="1"/>
    <col min="8" max="8" width="12.5703125" style="20" customWidth="1"/>
    <col min="9" max="9" width="12.28515625" style="20" customWidth="1"/>
    <col min="10" max="10" width="13.7109375" style="20" customWidth="1"/>
    <col min="11" max="16384" width="9.140625" style="3"/>
  </cols>
  <sheetData>
    <row r="3" spans="1:14">
      <c r="A3" s="413" t="s">
        <v>162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4">
      <c r="A4" s="422"/>
      <c r="B4" s="422"/>
      <c r="C4" s="422"/>
      <c r="D4" s="422"/>
      <c r="E4" s="422"/>
      <c r="F4" s="422"/>
      <c r="G4" s="422"/>
      <c r="H4" s="422"/>
      <c r="I4" s="422"/>
      <c r="J4" s="422"/>
    </row>
    <row r="5" spans="1:14" ht="24" customHeight="1">
      <c r="A5" s="390" t="s">
        <v>182</v>
      </c>
      <c r="B5" s="396" t="s">
        <v>5</v>
      </c>
      <c r="C5" s="420" t="s">
        <v>408</v>
      </c>
      <c r="D5" s="420" t="s">
        <v>379</v>
      </c>
      <c r="E5" s="388" t="s">
        <v>394</v>
      </c>
      <c r="F5" s="405" t="s">
        <v>396</v>
      </c>
      <c r="G5" s="407" t="s">
        <v>264</v>
      </c>
      <c r="H5" s="408"/>
      <c r="I5" s="408"/>
      <c r="J5" s="409"/>
    </row>
    <row r="6" spans="1:14" ht="104.25" customHeight="1">
      <c r="A6" s="390"/>
      <c r="B6" s="396"/>
      <c r="C6" s="421"/>
      <c r="D6" s="421"/>
      <c r="E6" s="389"/>
      <c r="F6" s="406"/>
      <c r="G6" s="313" t="s">
        <v>144</v>
      </c>
      <c r="H6" s="313" t="s">
        <v>145</v>
      </c>
      <c r="I6" s="313" t="s">
        <v>146</v>
      </c>
      <c r="J6" s="313" t="s">
        <v>55</v>
      </c>
    </row>
    <row r="7" spans="1:14" ht="18" customHeight="1">
      <c r="A7" s="6">
        <v>1</v>
      </c>
      <c r="B7" s="7">
        <v>2</v>
      </c>
      <c r="C7" s="344"/>
      <c r="D7" s="7">
        <v>3</v>
      </c>
      <c r="E7" s="7">
        <v>4</v>
      </c>
      <c r="F7" s="290">
        <v>5</v>
      </c>
      <c r="G7" s="278">
        <v>6</v>
      </c>
      <c r="H7" s="290">
        <v>7</v>
      </c>
      <c r="I7" s="290">
        <v>8</v>
      </c>
      <c r="J7" s="290">
        <v>9</v>
      </c>
    </row>
    <row r="8" spans="1:14" s="5" customFormat="1" ht="42.75" customHeight="1">
      <c r="A8" s="67" t="s">
        <v>64</v>
      </c>
      <c r="B8" s="73">
        <v>4000</v>
      </c>
      <c r="C8" s="78">
        <f>C9+C10+C22+C23+C21</f>
        <v>495</v>
      </c>
      <c r="D8" s="78">
        <f>D9+D10+D22+D23+D21</f>
        <v>0</v>
      </c>
      <c r="E8" s="78">
        <f>E10+E23+E9+E21</f>
        <v>4705</v>
      </c>
      <c r="F8" s="78">
        <f>G8+H8+I8+J8</f>
        <v>8733.9</v>
      </c>
      <c r="G8" s="78">
        <f>G9+G10+G21+G22+G23</f>
        <v>0</v>
      </c>
      <c r="H8" s="78">
        <f>H9+H10+H21+H22+H23</f>
        <v>4218.8999999999996</v>
      </c>
      <c r="I8" s="78">
        <f>I9+I10+I21+I22+I23</f>
        <v>0</v>
      </c>
      <c r="J8" s="78">
        <f>J9+J10+J21+J22+J23</f>
        <v>4515</v>
      </c>
    </row>
    <row r="9" spans="1:14" ht="24" customHeight="1">
      <c r="A9" s="175" t="s">
        <v>314</v>
      </c>
      <c r="B9" s="136" t="s">
        <v>168</v>
      </c>
      <c r="C9" s="169">
        <v>0</v>
      </c>
      <c r="D9" s="137">
        <v>0</v>
      </c>
      <c r="E9" s="137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spans="1:14" ht="37.5" customHeight="1">
      <c r="A10" s="177" t="s">
        <v>351</v>
      </c>
      <c r="B10" s="310">
        <v>4020</v>
      </c>
      <c r="C10" s="370">
        <v>0</v>
      </c>
      <c r="D10" s="137">
        <v>0</v>
      </c>
      <c r="E10" s="137">
        <f>SUM(E11:E19)</f>
        <v>4705</v>
      </c>
      <c r="F10" s="74">
        <f>F11+F12+F13+F15+F14+F16+F17+F18+F19</f>
        <v>8733.9</v>
      </c>
      <c r="G10" s="74">
        <f>G11+G12+G13+G15+G16+G14+G17+G18+G19</f>
        <v>0</v>
      </c>
      <c r="H10" s="74">
        <f>H11+H12+H13+H15+H16+H14+H17+H18+H19</f>
        <v>4218.8999999999996</v>
      </c>
      <c r="I10" s="74">
        <f>I11+I12+I13+I15+I16+I14+I17+I18+I19</f>
        <v>0</v>
      </c>
      <c r="J10" s="74">
        <f>J11+J12+J13+J15+J16+J14+J17+J18+J19</f>
        <v>4515</v>
      </c>
      <c r="N10" s="17"/>
    </row>
    <row r="11" spans="1:14" ht="17.25" customHeight="1">
      <c r="A11" s="233" t="s">
        <v>404</v>
      </c>
      <c r="B11" s="48" t="s">
        <v>316</v>
      </c>
      <c r="C11" s="48"/>
      <c r="D11" s="137"/>
      <c r="E11" s="137"/>
      <c r="F11" s="280">
        <f>G11+H11+I11+J11</f>
        <v>1746</v>
      </c>
      <c r="G11" s="280"/>
      <c r="H11" s="280">
        <v>1746</v>
      </c>
      <c r="I11" s="280"/>
      <c r="J11" s="280"/>
      <c r="N11" s="17"/>
    </row>
    <row r="12" spans="1:14" ht="33.75" customHeight="1">
      <c r="A12" s="233" t="s">
        <v>384</v>
      </c>
      <c r="B12" s="48" t="s">
        <v>353</v>
      </c>
      <c r="C12" s="48"/>
      <c r="D12" s="81"/>
      <c r="E12" s="81">
        <v>460</v>
      </c>
      <c r="F12" s="280">
        <f t="shared" ref="F12:F19" si="0">G12+H12+I12+J12</f>
        <v>474.9</v>
      </c>
      <c r="G12" s="280"/>
      <c r="H12" s="280">
        <v>474.9</v>
      </c>
      <c r="I12" s="280"/>
      <c r="J12" s="280"/>
      <c r="N12" s="17"/>
    </row>
    <row r="13" spans="1:14" s="249" customFormat="1" ht="33.75" hidden="1" customHeight="1" outlineLevel="1">
      <c r="A13" s="339" t="s">
        <v>383</v>
      </c>
      <c r="B13" s="336" t="s">
        <v>359</v>
      </c>
      <c r="C13" s="336"/>
      <c r="D13" s="337"/>
      <c r="E13" s="337"/>
      <c r="F13" s="338">
        <f t="shared" si="0"/>
        <v>0</v>
      </c>
      <c r="G13" s="338"/>
      <c r="H13" s="338"/>
      <c r="I13" s="338"/>
      <c r="J13" s="338"/>
      <c r="N13" s="17"/>
    </row>
    <row r="14" spans="1:14" s="227" customFormat="1" ht="19.5" customHeight="1" collapsed="1">
      <c r="A14" s="234" t="s">
        <v>376</v>
      </c>
      <c r="B14" s="48" t="s">
        <v>359</v>
      </c>
      <c r="C14" s="48"/>
      <c r="D14" s="81"/>
      <c r="E14" s="81">
        <v>1650</v>
      </c>
      <c r="F14" s="280">
        <f t="shared" si="0"/>
        <v>1998</v>
      </c>
      <c r="G14" s="281"/>
      <c r="H14" s="281">
        <v>1998</v>
      </c>
      <c r="I14" s="281"/>
      <c r="J14" s="281"/>
      <c r="N14" s="17"/>
    </row>
    <row r="15" spans="1:14" ht="64.5" customHeight="1">
      <c r="A15" s="261" t="s">
        <v>374</v>
      </c>
      <c r="B15" s="48" t="s">
        <v>360</v>
      </c>
      <c r="C15" s="48"/>
      <c r="D15" s="209"/>
      <c r="E15" s="81">
        <v>945</v>
      </c>
      <c r="F15" s="280">
        <f t="shared" si="0"/>
        <v>945</v>
      </c>
      <c r="G15" s="280"/>
      <c r="H15" s="280"/>
      <c r="I15" s="280"/>
      <c r="J15" s="81">
        <v>945</v>
      </c>
      <c r="N15" s="17"/>
    </row>
    <row r="16" spans="1:14" s="260" customFormat="1" ht="33" customHeight="1">
      <c r="A16" s="261" t="s">
        <v>388</v>
      </c>
      <c r="B16" s="48" t="s">
        <v>370</v>
      </c>
      <c r="C16" s="48"/>
      <c r="D16" s="209"/>
      <c r="E16" s="81">
        <v>1650</v>
      </c>
      <c r="F16" s="280">
        <f t="shared" si="0"/>
        <v>0</v>
      </c>
      <c r="G16" s="280"/>
      <c r="H16" s="280"/>
      <c r="I16" s="280"/>
      <c r="J16" s="280"/>
      <c r="N16" s="17"/>
    </row>
    <row r="17" spans="1:14" s="220" customFormat="1" ht="20.25" customHeight="1">
      <c r="A17" s="122" t="s">
        <v>369</v>
      </c>
      <c r="B17" s="48" t="s">
        <v>371</v>
      </c>
      <c r="C17" s="48"/>
      <c r="D17" s="209"/>
      <c r="E17" s="209"/>
      <c r="F17" s="280">
        <f t="shared" si="0"/>
        <v>1890</v>
      </c>
      <c r="G17" s="282"/>
      <c r="H17" s="282"/>
      <c r="I17" s="282"/>
      <c r="J17" s="309">
        <v>1890</v>
      </c>
      <c r="N17" s="17"/>
    </row>
    <row r="18" spans="1:14" s="220" customFormat="1" ht="38.25" customHeight="1">
      <c r="A18" s="122" t="s">
        <v>372</v>
      </c>
      <c r="B18" s="48" t="s">
        <v>373</v>
      </c>
      <c r="C18" s="48"/>
      <c r="D18" s="209"/>
      <c r="E18" s="209"/>
      <c r="F18" s="280">
        <f t="shared" si="0"/>
        <v>1680</v>
      </c>
      <c r="G18" s="282"/>
      <c r="H18" s="282"/>
      <c r="I18" s="282"/>
      <c r="J18" s="280">
        <v>1680</v>
      </c>
      <c r="N18" s="17"/>
    </row>
    <row r="19" spans="1:14" s="227" customFormat="1" ht="22.5" hidden="1" customHeight="1" outlineLevel="1">
      <c r="A19" s="335" t="s">
        <v>382</v>
      </c>
      <c r="B19" s="336" t="s">
        <v>389</v>
      </c>
      <c r="C19" s="336"/>
      <c r="D19" s="337"/>
      <c r="E19" s="337"/>
      <c r="F19" s="338">
        <f t="shared" si="0"/>
        <v>0</v>
      </c>
      <c r="G19" s="282"/>
      <c r="H19" s="282"/>
      <c r="I19" s="282"/>
      <c r="J19" s="282"/>
      <c r="N19" s="17"/>
    </row>
    <row r="20" spans="1:14" s="220" customFormat="1" ht="23.25" hidden="1" customHeight="1" outlineLevel="1">
      <c r="A20" s="335" t="s">
        <v>375</v>
      </c>
      <c r="B20" s="336" t="s">
        <v>373</v>
      </c>
      <c r="C20" s="336"/>
      <c r="D20" s="337"/>
      <c r="E20" s="337"/>
      <c r="F20" s="338"/>
      <c r="G20" s="282"/>
      <c r="H20" s="282"/>
      <c r="I20" s="282"/>
      <c r="J20" s="282"/>
      <c r="N20" s="17"/>
    </row>
    <row r="21" spans="1:14" ht="41.25" customHeight="1" collapsed="1">
      <c r="A21" s="177" t="s">
        <v>13</v>
      </c>
      <c r="B21" s="136">
        <v>4030</v>
      </c>
      <c r="C21" s="137">
        <v>0</v>
      </c>
      <c r="D21" s="137">
        <v>0</v>
      </c>
      <c r="E21" s="137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M21" s="17"/>
    </row>
    <row r="22" spans="1:14" ht="41.25" customHeight="1">
      <c r="A22" s="177" t="s">
        <v>1</v>
      </c>
      <c r="B22" s="310">
        <v>4040</v>
      </c>
      <c r="C22" s="137">
        <v>0</v>
      </c>
      <c r="D22" s="137"/>
      <c r="E22" s="74" t="s">
        <v>348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</row>
    <row r="23" spans="1:14" ht="58.5" customHeight="1">
      <c r="A23" s="177" t="s">
        <v>315</v>
      </c>
      <c r="B23" s="136">
        <v>4050</v>
      </c>
      <c r="C23" s="169">
        <v>495</v>
      </c>
      <c r="D23" s="137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</row>
    <row r="24" spans="1:14" s="346" customFormat="1" ht="35.25" customHeight="1">
      <c r="A24" s="122" t="s">
        <v>412</v>
      </c>
      <c r="B24" s="48"/>
      <c r="C24" s="87">
        <v>21</v>
      </c>
      <c r="D24" s="209"/>
      <c r="E24" s="209"/>
      <c r="F24" s="280"/>
      <c r="G24" s="282"/>
      <c r="H24" s="282"/>
      <c r="I24" s="282"/>
      <c r="J24" s="355"/>
    </row>
    <row r="25" spans="1:14" s="346" customFormat="1" ht="33.75" customHeight="1">
      <c r="A25" s="122" t="s">
        <v>413</v>
      </c>
      <c r="B25" s="48"/>
      <c r="C25" s="87">
        <v>474</v>
      </c>
      <c r="D25" s="209"/>
      <c r="E25" s="209"/>
      <c r="F25" s="81"/>
      <c r="G25" s="209"/>
      <c r="H25" s="209"/>
      <c r="I25" s="209"/>
      <c r="J25" s="81"/>
    </row>
    <row r="26" spans="1:14" ht="33" customHeight="1">
      <c r="A26" s="139"/>
      <c r="B26" s="22"/>
      <c r="C26" s="22"/>
      <c r="D26" s="140"/>
      <c r="E26" s="140"/>
      <c r="F26" s="140"/>
      <c r="G26" s="140"/>
      <c r="H26" s="140"/>
      <c r="I26" s="140"/>
      <c r="J26" s="140"/>
    </row>
    <row r="27" spans="1:14" ht="32.25" customHeight="1">
      <c r="A27" s="270" t="s">
        <v>402</v>
      </c>
      <c r="B27" s="1"/>
      <c r="C27" s="1"/>
      <c r="D27" s="423" t="s">
        <v>398</v>
      </c>
      <c r="E27" s="423"/>
      <c r="F27" s="294"/>
      <c r="G27" s="425" t="s">
        <v>317</v>
      </c>
      <c r="H27" s="425"/>
      <c r="I27" s="425"/>
      <c r="J27" s="294"/>
    </row>
    <row r="28" spans="1:14" s="2" customFormat="1" ht="20.100000000000001" customHeight="1">
      <c r="A28" s="141" t="s">
        <v>61</v>
      </c>
      <c r="B28" s="142"/>
      <c r="C28" s="142"/>
      <c r="D28" s="424" t="s">
        <v>62</v>
      </c>
      <c r="E28" s="424"/>
      <c r="F28" s="142"/>
      <c r="G28" s="426" t="s">
        <v>81</v>
      </c>
      <c r="H28" s="426"/>
      <c r="I28" s="426"/>
      <c r="J28" s="142"/>
    </row>
    <row r="29" spans="1:14">
      <c r="A29" s="35"/>
    </row>
    <row r="30" spans="1:14">
      <c r="A30" s="35"/>
    </row>
    <row r="31" spans="1:14">
      <c r="A31" s="35"/>
    </row>
    <row r="32" spans="1:14">
      <c r="A32" s="35"/>
    </row>
    <row r="33" spans="1:1">
      <c r="A33" s="35"/>
    </row>
    <row r="34" spans="1:1">
      <c r="A34" s="35"/>
    </row>
    <row r="35" spans="1:1">
      <c r="A35" s="35"/>
    </row>
    <row r="36" spans="1:1">
      <c r="A36" s="35"/>
    </row>
    <row r="37" spans="1:1">
      <c r="A37" s="35"/>
    </row>
    <row r="38" spans="1:1">
      <c r="A38" s="35"/>
    </row>
    <row r="39" spans="1:1">
      <c r="A39" s="35"/>
    </row>
    <row r="40" spans="1:1">
      <c r="A40" s="35"/>
    </row>
    <row r="41" spans="1:1">
      <c r="A41" s="35"/>
    </row>
    <row r="42" spans="1:1">
      <c r="A42" s="35"/>
    </row>
    <row r="43" spans="1:1">
      <c r="A43" s="35"/>
    </row>
    <row r="44" spans="1:1">
      <c r="A44" s="35"/>
    </row>
    <row r="45" spans="1:1">
      <c r="A45" s="35"/>
    </row>
    <row r="46" spans="1:1">
      <c r="A46" s="35"/>
    </row>
    <row r="47" spans="1:1">
      <c r="A47" s="35"/>
    </row>
    <row r="48" spans="1:1">
      <c r="A48" s="35"/>
    </row>
    <row r="49" spans="1:1">
      <c r="A49" s="35"/>
    </row>
    <row r="50" spans="1:1">
      <c r="A50" s="35"/>
    </row>
    <row r="51" spans="1:1">
      <c r="A51" s="35"/>
    </row>
    <row r="52" spans="1:1">
      <c r="A52" s="35"/>
    </row>
    <row r="53" spans="1:1">
      <c r="A53" s="35"/>
    </row>
    <row r="54" spans="1:1">
      <c r="A54" s="35"/>
    </row>
    <row r="55" spans="1:1">
      <c r="A55" s="35"/>
    </row>
    <row r="56" spans="1:1">
      <c r="A56" s="35"/>
    </row>
    <row r="57" spans="1:1">
      <c r="A57" s="35"/>
    </row>
    <row r="58" spans="1:1">
      <c r="A58" s="35"/>
    </row>
    <row r="59" spans="1:1">
      <c r="A59" s="35"/>
    </row>
    <row r="60" spans="1:1">
      <c r="A60" s="35"/>
    </row>
    <row r="61" spans="1:1">
      <c r="A61" s="35"/>
    </row>
    <row r="62" spans="1:1">
      <c r="A62" s="35"/>
    </row>
    <row r="63" spans="1:1">
      <c r="A63" s="35"/>
    </row>
    <row r="64" spans="1:1">
      <c r="A64" s="35"/>
    </row>
    <row r="65" spans="1:1">
      <c r="A65" s="35"/>
    </row>
    <row r="66" spans="1:1">
      <c r="A66" s="35"/>
    </row>
    <row r="67" spans="1:1">
      <c r="A67" s="35"/>
    </row>
    <row r="68" spans="1:1">
      <c r="A68" s="35"/>
    </row>
    <row r="69" spans="1:1">
      <c r="A69" s="35"/>
    </row>
    <row r="70" spans="1:1">
      <c r="A70" s="35"/>
    </row>
    <row r="71" spans="1:1">
      <c r="A71" s="35"/>
    </row>
    <row r="72" spans="1:1">
      <c r="A72" s="35"/>
    </row>
    <row r="73" spans="1:1">
      <c r="A73" s="35"/>
    </row>
    <row r="74" spans="1:1">
      <c r="A74" s="35"/>
    </row>
    <row r="75" spans="1:1">
      <c r="A75" s="35"/>
    </row>
    <row r="76" spans="1:1">
      <c r="A76" s="35"/>
    </row>
    <row r="77" spans="1:1">
      <c r="A77" s="35"/>
    </row>
    <row r="78" spans="1:1">
      <c r="A78" s="35"/>
    </row>
    <row r="79" spans="1:1">
      <c r="A79" s="35"/>
    </row>
    <row r="80" spans="1: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89" spans="1:1">
      <c r="A89" s="35"/>
    </row>
    <row r="90" spans="1:1">
      <c r="A90" s="35"/>
    </row>
    <row r="91" spans="1:1">
      <c r="A91" s="35"/>
    </row>
    <row r="92" spans="1:1">
      <c r="A92" s="35"/>
    </row>
    <row r="93" spans="1:1">
      <c r="A93" s="35"/>
    </row>
    <row r="94" spans="1:1">
      <c r="A94" s="35"/>
    </row>
    <row r="95" spans="1:1">
      <c r="A95" s="35"/>
    </row>
    <row r="96" spans="1:1">
      <c r="A96" s="35"/>
    </row>
    <row r="97" spans="1:1">
      <c r="A97" s="35"/>
    </row>
    <row r="98" spans="1:1">
      <c r="A98" s="35"/>
    </row>
    <row r="99" spans="1:1">
      <c r="A99" s="35"/>
    </row>
    <row r="100" spans="1:1">
      <c r="A100" s="35"/>
    </row>
    <row r="101" spans="1:1">
      <c r="A101" s="35"/>
    </row>
    <row r="102" spans="1:1">
      <c r="A102" s="35"/>
    </row>
    <row r="103" spans="1:1">
      <c r="A103" s="35"/>
    </row>
    <row r="104" spans="1:1">
      <c r="A104" s="35"/>
    </row>
    <row r="105" spans="1:1">
      <c r="A105" s="35"/>
    </row>
    <row r="106" spans="1:1">
      <c r="A106" s="35"/>
    </row>
    <row r="107" spans="1:1">
      <c r="A107" s="35"/>
    </row>
    <row r="108" spans="1:1">
      <c r="A108" s="35"/>
    </row>
    <row r="109" spans="1:1">
      <c r="A109" s="35"/>
    </row>
    <row r="110" spans="1:1">
      <c r="A110" s="35"/>
    </row>
    <row r="111" spans="1:1">
      <c r="A111" s="35"/>
    </row>
    <row r="112" spans="1:1">
      <c r="A112" s="35"/>
    </row>
    <row r="113" spans="1:1">
      <c r="A113" s="35"/>
    </row>
    <row r="114" spans="1:1">
      <c r="A114" s="35"/>
    </row>
    <row r="115" spans="1:1">
      <c r="A115" s="35"/>
    </row>
    <row r="116" spans="1:1">
      <c r="A116" s="35"/>
    </row>
    <row r="117" spans="1:1">
      <c r="A117" s="35"/>
    </row>
    <row r="118" spans="1:1">
      <c r="A118" s="35"/>
    </row>
    <row r="119" spans="1:1">
      <c r="A119" s="35"/>
    </row>
    <row r="120" spans="1:1">
      <c r="A120" s="35"/>
    </row>
    <row r="121" spans="1:1">
      <c r="A121" s="35"/>
    </row>
    <row r="122" spans="1:1">
      <c r="A122" s="35"/>
    </row>
    <row r="123" spans="1:1">
      <c r="A123" s="35"/>
    </row>
    <row r="124" spans="1:1">
      <c r="A124" s="35"/>
    </row>
    <row r="125" spans="1:1">
      <c r="A125" s="35"/>
    </row>
    <row r="126" spans="1:1">
      <c r="A126" s="35"/>
    </row>
    <row r="127" spans="1:1">
      <c r="A127" s="35"/>
    </row>
    <row r="128" spans="1:1">
      <c r="A128" s="35"/>
    </row>
    <row r="129" spans="1:1">
      <c r="A129" s="35"/>
    </row>
    <row r="130" spans="1:1">
      <c r="A130" s="35"/>
    </row>
    <row r="131" spans="1:1">
      <c r="A131" s="35"/>
    </row>
    <row r="132" spans="1: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</sheetData>
  <mergeCells count="13">
    <mergeCell ref="D27:E27"/>
    <mergeCell ref="D28:E28"/>
    <mergeCell ref="G27:I27"/>
    <mergeCell ref="G28:I28"/>
    <mergeCell ref="C5:C6"/>
    <mergeCell ref="A3:J3"/>
    <mergeCell ref="B5:B6"/>
    <mergeCell ref="D5:D6"/>
    <mergeCell ref="A4:J4"/>
    <mergeCell ref="E5:E6"/>
    <mergeCell ref="A5:A6"/>
    <mergeCell ref="F5:F6"/>
    <mergeCell ref="G5:J5"/>
  </mergeCells>
  <phoneticPr fontId="0" type="noConversion"/>
  <printOptions horizontalCentered="1"/>
  <pageMargins left="0.70866141732283472" right="0.19685039370078741" top="0.78740157480314965" bottom="0.78740157480314965" header="0.27559055118110237" footer="0.31496062992125984"/>
  <pageSetup paperSize="9" scale="55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K105"/>
  <sheetViews>
    <sheetView tabSelected="1" zoomScale="55" zoomScaleNormal="55" zoomScaleSheetLayoutView="75" workbookViewId="0">
      <selection activeCell="C27" sqref="C27"/>
    </sheetView>
  </sheetViews>
  <sheetFormatPr defaultRowHeight="18.75" outlineLevelRow="1" outlineLevelCol="1"/>
  <cols>
    <col min="1" max="1" width="35" style="2" customWidth="1"/>
    <col min="2" max="2" width="11.85546875" style="2" customWidth="1"/>
    <col min="3" max="3" width="13.5703125" style="16" customWidth="1"/>
    <col min="4" max="4" width="17.7109375" style="16" customWidth="1"/>
    <col min="5" max="5" width="15.28515625" style="16" customWidth="1" outlineLevel="1"/>
    <col min="6" max="6" width="9.42578125" style="2" customWidth="1"/>
    <col min="7" max="7" width="10.85546875" style="2" customWidth="1"/>
    <col min="8" max="8" width="14.5703125" style="2" customWidth="1"/>
    <col min="9" max="9" width="5.28515625" style="2" customWidth="1"/>
    <col min="10" max="10" width="12.28515625" style="2" customWidth="1"/>
    <col min="11" max="11" width="11.42578125" style="2" customWidth="1"/>
    <col min="12" max="12" width="12.85546875" style="2" hidden="1" customWidth="1" outlineLevel="1"/>
    <col min="13" max="13" width="13.140625" style="2" customWidth="1" collapsed="1"/>
    <col min="14" max="14" width="12.5703125" style="2" customWidth="1"/>
    <col min="15" max="15" width="10" style="2" customWidth="1"/>
    <col min="16" max="16" width="10.85546875" style="2" customWidth="1"/>
    <col min="17" max="17" width="9.85546875" style="2" customWidth="1"/>
    <col min="18" max="18" width="10.7109375" style="2" customWidth="1"/>
    <col min="19" max="19" width="8.42578125" style="2" customWidth="1"/>
    <col min="20" max="20" width="7.7109375" style="2" customWidth="1"/>
    <col min="21" max="21" width="8.7109375" style="2" customWidth="1"/>
    <col min="22" max="22" width="7.28515625" style="2" customWidth="1"/>
    <col min="23" max="23" width="8" style="2" customWidth="1"/>
    <col min="24" max="24" width="7.42578125" style="2" customWidth="1"/>
    <col min="25" max="25" width="7" style="2" customWidth="1"/>
    <col min="26" max="26" width="6.85546875" style="2" customWidth="1"/>
    <col min="27" max="27" width="7" style="2" customWidth="1"/>
    <col min="28" max="28" width="9.85546875" style="2" customWidth="1"/>
    <col min="29" max="29" width="10.5703125" style="2" customWidth="1"/>
    <col min="30" max="30" width="11.140625" style="2" customWidth="1"/>
    <col min="31" max="31" width="9" style="2" customWidth="1"/>
    <col min="32" max="32" width="12.140625" style="2" customWidth="1"/>
    <col min="33" max="16384" width="9.140625" style="2"/>
  </cols>
  <sheetData>
    <row r="1" spans="1:19" ht="15.75" customHeight="1">
      <c r="A1" s="2">
        <f ca="1">A1:J37</f>
        <v>0</v>
      </c>
    </row>
    <row r="2" spans="1:19" ht="10.5" customHeight="1">
      <c r="C2" s="13"/>
      <c r="D2" s="13"/>
      <c r="E2" s="13"/>
      <c r="F2" s="13"/>
      <c r="G2" s="13"/>
      <c r="H2" s="13"/>
      <c r="I2" s="13"/>
      <c r="J2" s="13"/>
    </row>
    <row r="3" spans="1:19" ht="10.5" customHeight="1">
      <c r="C3" s="75"/>
      <c r="D3" s="75"/>
      <c r="E3" s="75"/>
      <c r="F3" s="75"/>
      <c r="G3" s="75"/>
      <c r="H3" s="75"/>
      <c r="I3" s="75"/>
      <c r="J3" s="75"/>
    </row>
    <row r="4" spans="1:19">
      <c r="A4" s="446" t="s">
        <v>294</v>
      </c>
      <c r="B4" s="446"/>
      <c r="C4" s="446"/>
      <c r="D4" s="446"/>
      <c r="E4" s="446"/>
      <c r="F4" s="446"/>
      <c r="G4" s="446"/>
      <c r="H4" s="446"/>
      <c r="I4" s="446"/>
      <c r="J4" s="13"/>
      <c r="K4" s="13"/>
      <c r="L4" s="75"/>
      <c r="M4" s="75"/>
      <c r="N4" s="75"/>
      <c r="O4" s="75"/>
      <c r="P4" s="75"/>
      <c r="Q4" s="75"/>
      <c r="R4" s="75"/>
    </row>
    <row r="5" spans="1:19">
      <c r="A5" s="446" t="s">
        <v>405</v>
      </c>
      <c r="B5" s="446"/>
      <c r="C5" s="446"/>
      <c r="D5" s="446"/>
      <c r="E5" s="446"/>
      <c r="F5" s="446"/>
      <c r="G5" s="446"/>
      <c r="H5" s="446"/>
      <c r="I5" s="446"/>
      <c r="J5" s="13"/>
      <c r="K5" s="13"/>
      <c r="L5" s="75"/>
      <c r="M5" s="75"/>
      <c r="N5" s="75"/>
      <c r="O5" s="75"/>
      <c r="P5" s="75"/>
      <c r="Q5" s="75"/>
      <c r="R5" s="75"/>
    </row>
    <row r="6" spans="1:19">
      <c r="A6" s="447" t="s">
        <v>318</v>
      </c>
      <c r="B6" s="447"/>
      <c r="C6" s="447"/>
      <c r="D6" s="447"/>
      <c r="E6" s="447"/>
      <c r="F6" s="447"/>
      <c r="G6" s="447"/>
      <c r="H6" s="447"/>
      <c r="I6" s="447"/>
      <c r="J6" s="323"/>
      <c r="K6" s="323"/>
      <c r="L6" s="159"/>
      <c r="M6" s="20"/>
      <c r="N6" s="20"/>
      <c r="O6" s="20"/>
      <c r="P6" s="20"/>
      <c r="Q6" s="20"/>
      <c r="R6" s="20"/>
    </row>
    <row r="7" spans="1:19" ht="20.100000000000001" customHeight="1">
      <c r="A7" s="445" t="s">
        <v>105</v>
      </c>
      <c r="B7" s="445"/>
      <c r="C7" s="445"/>
      <c r="D7" s="445"/>
      <c r="E7" s="445"/>
      <c r="F7" s="445"/>
      <c r="G7" s="445"/>
      <c r="H7" s="445"/>
      <c r="I7" s="445"/>
      <c r="J7" s="116"/>
      <c r="K7" s="116"/>
      <c r="L7" s="46"/>
      <c r="M7" s="46"/>
      <c r="N7" s="46"/>
      <c r="O7" s="46"/>
      <c r="P7" s="46"/>
      <c r="Q7" s="46"/>
      <c r="R7" s="46"/>
    </row>
    <row r="8" spans="1:19" ht="21.95" customHeight="1">
      <c r="A8" s="321" t="s">
        <v>403</v>
      </c>
      <c r="B8" s="349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5"/>
      <c r="N8" s="5"/>
      <c r="O8" s="5"/>
      <c r="P8" s="5"/>
      <c r="Q8" s="5"/>
      <c r="R8" s="5"/>
    </row>
    <row r="9" spans="1:19" ht="6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18.75" customHeight="1">
      <c r="A10" s="2" t="s">
        <v>218</v>
      </c>
      <c r="C10" s="2"/>
      <c r="D10" s="2"/>
      <c r="E10" s="2"/>
    </row>
    <row r="11" spans="1:19" ht="12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N11" s="50"/>
      <c r="O11" s="50"/>
      <c r="P11" s="50"/>
      <c r="Q11" s="50"/>
      <c r="R11" s="50"/>
    </row>
    <row r="12" spans="1:19" s="3" customFormat="1" ht="138.75" customHeight="1">
      <c r="A12" s="307" t="s">
        <v>182</v>
      </c>
      <c r="B12" s="343" t="s">
        <v>409</v>
      </c>
      <c r="C12" s="330" t="s">
        <v>379</v>
      </c>
      <c r="D12" s="306" t="s">
        <v>394</v>
      </c>
      <c r="E12" s="331" t="s">
        <v>406</v>
      </c>
      <c r="F12" s="384" t="s">
        <v>401</v>
      </c>
      <c r="G12" s="384"/>
      <c r="H12" s="396" t="s">
        <v>357</v>
      </c>
      <c r="I12" s="396"/>
      <c r="N12" s="38"/>
      <c r="O12" s="240"/>
      <c r="P12" s="240"/>
      <c r="Q12" s="38"/>
      <c r="R12" s="38"/>
      <c r="S12" s="2"/>
    </row>
    <row r="13" spans="1:19" s="3" customFormat="1" ht="18" customHeight="1">
      <c r="A13" s="6">
        <v>1</v>
      </c>
      <c r="B13" s="358">
        <v>2</v>
      </c>
      <c r="C13" s="358">
        <v>3</v>
      </c>
      <c r="D13" s="358">
        <v>4</v>
      </c>
      <c r="E13" s="358">
        <v>5</v>
      </c>
      <c r="F13" s="448">
        <v>6</v>
      </c>
      <c r="G13" s="448"/>
      <c r="H13" s="448">
        <v>7</v>
      </c>
      <c r="I13" s="449"/>
      <c r="N13" s="138"/>
      <c r="O13" s="38"/>
      <c r="P13" s="38"/>
      <c r="Q13" s="38"/>
      <c r="R13" s="38"/>
      <c r="S13" s="2"/>
    </row>
    <row r="14" spans="1:19" s="3" customFormat="1" ht="60.75" customHeight="1">
      <c r="A14" s="9" t="s">
        <v>106</v>
      </c>
      <c r="B14" s="342">
        <v>92</v>
      </c>
      <c r="C14" s="55">
        <v>92</v>
      </c>
      <c r="D14" s="121">
        <v>86</v>
      </c>
      <c r="E14" s="283">
        <f>E15+E16+E17+E18+E19</f>
        <v>98</v>
      </c>
      <c r="F14" s="441">
        <f>E14/D14*100</f>
        <v>113.95348837209302</v>
      </c>
      <c r="G14" s="441"/>
      <c r="H14" s="441">
        <f>E14/C14*100</f>
        <v>106.5217391304348</v>
      </c>
      <c r="I14" s="444"/>
      <c r="N14" s="229"/>
      <c r="O14" s="63"/>
      <c r="P14" s="63"/>
      <c r="Q14" s="26"/>
      <c r="R14" s="26"/>
      <c r="S14" s="2"/>
    </row>
    <row r="15" spans="1:19" s="3" customFormat="1" ht="20.100000000000001" customHeight="1">
      <c r="A15" s="8" t="s">
        <v>202</v>
      </c>
      <c r="B15" s="344">
        <v>4</v>
      </c>
      <c r="C15" s="7">
        <v>4</v>
      </c>
      <c r="D15" s="7">
        <v>4</v>
      </c>
      <c r="E15" s="285">
        <v>4</v>
      </c>
      <c r="F15" s="441">
        <f t="shared" ref="F15:F36" si="0">E15/D15*100</f>
        <v>100</v>
      </c>
      <c r="G15" s="441"/>
      <c r="H15" s="441">
        <f t="shared" ref="H15:H36" si="1">E15/C15*100</f>
        <v>100</v>
      </c>
      <c r="I15" s="444"/>
      <c r="N15" s="138"/>
      <c r="O15" s="63"/>
      <c r="P15" s="63"/>
      <c r="Q15" s="26"/>
      <c r="R15" s="26"/>
      <c r="S15" s="2"/>
    </row>
    <row r="16" spans="1:19" s="3" customFormat="1" ht="20.100000000000001" customHeight="1">
      <c r="A16" s="8" t="s">
        <v>203</v>
      </c>
      <c r="B16" s="344">
        <v>7</v>
      </c>
      <c r="C16" s="7">
        <v>7</v>
      </c>
      <c r="D16" s="7">
        <v>6</v>
      </c>
      <c r="E16" s="285">
        <v>7</v>
      </c>
      <c r="F16" s="441">
        <f t="shared" si="0"/>
        <v>116.66666666666667</v>
      </c>
      <c r="G16" s="441"/>
      <c r="H16" s="441">
        <f t="shared" si="1"/>
        <v>100</v>
      </c>
      <c r="I16" s="444"/>
      <c r="N16" s="161"/>
      <c r="O16" s="63"/>
      <c r="P16" s="63"/>
      <c r="Q16" s="26"/>
      <c r="R16" s="26"/>
      <c r="S16" s="2"/>
    </row>
    <row r="17" spans="1:19" s="3" customFormat="1" ht="20.100000000000001" customHeight="1">
      <c r="A17" s="8" t="s">
        <v>204</v>
      </c>
      <c r="B17" s="344">
        <v>2</v>
      </c>
      <c r="C17" s="7">
        <v>2</v>
      </c>
      <c r="D17" s="7">
        <v>2</v>
      </c>
      <c r="E17" s="285">
        <v>2</v>
      </c>
      <c r="F17" s="441">
        <f t="shared" si="0"/>
        <v>100</v>
      </c>
      <c r="G17" s="441"/>
      <c r="H17" s="441">
        <f t="shared" si="1"/>
        <v>100</v>
      </c>
      <c r="I17" s="444"/>
      <c r="N17" s="138"/>
      <c r="O17" s="63"/>
      <c r="P17" s="63"/>
      <c r="Q17" s="26"/>
      <c r="R17" s="26"/>
      <c r="S17" s="2"/>
    </row>
    <row r="18" spans="1:19" s="3" customFormat="1" ht="20.100000000000001" customHeight="1">
      <c r="A18" s="8" t="s">
        <v>205</v>
      </c>
      <c r="B18" s="344">
        <v>2</v>
      </c>
      <c r="C18" s="7">
        <v>2</v>
      </c>
      <c r="D18" s="7">
        <v>2</v>
      </c>
      <c r="E18" s="285">
        <v>2</v>
      </c>
      <c r="F18" s="441">
        <f t="shared" si="0"/>
        <v>100</v>
      </c>
      <c r="G18" s="441"/>
      <c r="H18" s="441">
        <f t="shared" si="1"/>
        <v>100</v>
      </c>
      <c r="I18" s="444"/>
      <c r="N18" s="138"/>
      <c r="O18" s="63"/>
      <c r="P18" s="63"/>
      <c r="Q18" s="26"/>
      <c r="R18" s="26"/>
      <c r="S18" s="2"/>
    </row>
    <row r="19" spans="1:19" s="3" customFormat="1" ht="20.100000000000001" customHeight="1">
      <c r="A19" s="8" t="s">
        <v>206</v>
      </c>
      <c r="B19" s="344">
        <v>76</v>
      </c>
      <c r="C19" s="7">
        <v>77</v>
      </c>
      <c r="D19" s="7">
        <v>72</v>
      </c>
      <c r="E19" s="285">
        <f>72+3+3+2+3</f>
        <v>83</v>
      </c>
      <c r="F19" s="441">
        <f>E19/D19*100</f>
        <v>115.27777777777777</v>
      </c>
      <c r="G19" s="441"/>
      <c r="H19" s="441">
        <f t="shared" si="1"/>
        <v>107.79220779220779</v>
      </c>
      <c r="I19" s="444"/>
      <c r="N19" s="160"/>
      <c r="O19" s="63"/>
      <c r="P19" s="63"/>
      <c r="Q19" s="26"/>
      <c r="R19" s="26"/>
      <c r="S19" s="2"/>
    </row>
    <row r="20" spans="1:19" s="3" customFormat="1" ht="20.100000000000001" customHeight="1">
      <c r="A20" s="8" t="s">
        <v>207</v>
      </c>
      <c r="B20" s="8"/>
      <c r="C20" s="8"/>
      <c r="D20" s="8"/>
      <c r="E20" s="8"/>
      <c r="F20" s="441"/>
      <c r="G20" s="441"/>
      <c r="H20" s="441"/>
      <c r="I20" s="444"/>
      <c r="L20" s="138"/>
      <c r="M20" s="63"/>
      <c r="N20" s="63"/>
      <c r="O20" s="26"/>
      <c r="P20" s="26"/>
      <c r="Q20" s="86"/>
      <c r="R20" s="86"/>
      <c r="S20" s="2"/>
    </row>
    <row r="21" spans="1:19" s="3" customFormat="1" ht="39" customHeight="1">
      <c r="A21" s="9" t="s">
        <v>189</v>
      </c>
      <c r="B21" s="74">
        <f>'1.Фінансовий результат'!C106</f>
        <v>5302</v>
      </c>
      <c r="C21" s="74">
        <f>'1.Фінансовий результат'!D106</f>
        <v>6961.0000000000009</v>
      </c>
      <c r="D21" s="74">
        <f>'1.Фінансовий результат'!E106</f>
        <v>7436.7999999999993</v>
      </c>
      <c r="E21" s="74">
        <f>'1.Фінансовий результат'!F106</f>
        <v>9987.1</v>
      </c>
      <c r="F21" s="441">
        <f t="shared" si="0"/>
        <v>134.29297547332189</v>
      </c>
      <c r="G21" s="441"/>
      <c r="H21" s="441">
        <f t="shared" si="1"/>
        <v>143.4722022697888</v>
      </c>
      <c r="I21" s="444"/>
      <c r="L21" s="160"/>
      <c r="M21" s="63"/>
      <c r="N21" s="63"/>
      <c r="O21" s="26"/>
      <c r="P21" s="26"/>
      <c r="Q21" s="86"/>
      <c r="R21" s="86"/>
      <c r="S21" s="2"/>
    </row>
    <row r="22" spans="1:19" s="3" customFormat="1" ht="20.100000000000001" customHeight="1">
      <c r="A22" s="8" t="s">
        <v>180</v>
      </c>
      <c r="B22" s="344">
        <v>164.1</v>
      </c>
      <c r="C22" s="285">
        <v>150.19999999999999</v>
      </c>
      <c r="D22" s="285">
        <v>200.9</v>
      </c>
      <c r="E22" s="87">
        <f>250.7</f>
        <v>250.7</v>
      </c>
      <c r="F22" s="441">
        <f t="shared" si="0"/>
        <v>124.78845196615231</v>
      </c>
      <c r="G22" s="441"/>
      <c r="H22" s="441">
        <f t="shared" si="1"/>
        <v>166.91078561917442</v>
      </c>
      <c r="I22" s="444"/>
      <c r="L22" s="26"/>
      <c r="M22" s="63"/>
      <c r="N22" s="63"/>
      <c r="O22" s="26"/>
      <c r="P22" s="26"/>
      <c r="Q22" s="86"/>
      <c r="R22" s="86"/>
      <c r="S22" s="2"/>
    </row>
    <row r="23" spans="1:19" s="3" customFormat="1" ht="41.25" customHeight="1">
      <c r="A23" s="8" t="s">
        <v>191</v>
      </c>
      <c r="B23" s="87">
        <v>814.6</v>
      </c>
      <c r="C23" s="87">
        <v>766.5</v>
      </c>
      <c r="D23" s="87">
        <f>'1.Фінансовий результат'!E39-D22</f>
        <v>1085.3</v>
      </c>
      <c r="E23" s="87">
        <f>'1.Фінансовий результат'!F39-E22</f>
        <v>1689.5829999999999</v>
      </c>
      <c r="F23" s="441">
        <f t="shared" si="0"/>
        <v>155.67889062931908</v>
      </c>
      <c r="G23" s="441"/>
      <c r="H23" s="441">
        <f t="shared" si="1"/>
        <v>220.42831050228307</v>
      </c>
      <c r="I23" s="444"/>
      <c r="L23" s="160"/>
      <c r="M23" s="63"/>
      <c r="N23" s="63"/>
      <c r="O23" s="26"/>
      <c r="P23" s="26"/>
      <c r="Q23" s="86"/>
      <c r="R23" s="86"/>
      <c r="S23" s="2"/>
    </row>
    <row r="24" spans="1:19" s="3" customFormat="1" ht="20.100000000000001" customHeight="1">
      <c r="A24" s="8" t="s">
        <v>181</v>
      </c>
      <c r="B24" s="344">
        <f>B21-B22-B23</f>
        <v>4323.2999999999993</v>
      </c>
      <c r="C24" s="285">
        <v>6044.3</v>
      </c>
      <c r="D24" s="87">
        <f>D21-D22-D23</f>
        <v>6150.5999999999995</v>
      </c>
      <c r="E24" s="87">
        <f>E21-E22-E23</f>
        <v>8046.817</v>
      </c>
      <c r="F24" s="441">
        <f t="shared" si="0"/>
        <v>130.82978896367837</v>
      </c>
      <c r="G24" s="441"/>
      <c r="H24" s="441">
        <f t="shared" si="1"/>
        <v>133.13066856377083</v>
      </c>
      <c r="I24" s="444"/>
      <c r="L24" s="160"/>
      <c r="M24" s="63"/>
      <c r="N24" s="63"/>
      <c r="O24" s="26"/>
      <c r="P24" s="26"/>
      <c r="Q24" s="86"/>
      <c r="R24" s="86"/>
      <c r="S24" s="2"/>
    </row>
    <row r="25" spans="1:19" s="3" customFormat="1" ht="38.25" customHeight="1">
      <c r="A25" s="9" t="s">
        <v>190</v>
      </c>
      <c r="B25" s="169">
        <f t="shared" ref="B25:D28" si="2">B21</f>
        <v>5302</v>
      </c>
      <c r="C25" s="169">
        <f t="shared" si="2"/>
        <v>6961.0000000000009</v>
      </c>
      <c r="D25" s="283">
        <f t="shared" si="2"/>
        <v>7436.7999999999993</v>
      </c>
      <c r="E25" s="169">
        <f>E21</f>
        <v>9987.1</v>
      </c>
      <c r="F25" s="441">
        <f t="shared" si="0"/>
        <v>134.29297547332189</v>
      </c>
      <c r="G25" s="441"/>
      <c r="H25" s="441">
        <f t="shared" si="1"/>
        <v>143.4722022697888</v>
      </c>
      <c r="I25" s="444"/>
      <c r="L25" s="160"/>
      <c r="M25" s="63"/>
      <c r="O25" s="26"/>
      <c r="P25" s="26"/>
      <c r="Q25" s="86"/>
      <c r="R25" s="86"/>
      <c r="S25" s="2"/>
    </row>
    <row r="26" spans="1:19" s="3" customFormat="1" ht="20.100000000000001" customHeight="1">
      <c r="A26" s="8" t="s">
        <v>180</v>
      </c>
      <c r="B26" s="344">
        <f t="shared" ref="B26" si="3">B22</f>
        <v>164.1</v>
      </c>
      <c r="C26" s="285">
        <f t="shared" si="2"/>
        <v>150.19999999999999</v>
      </c>
      <c r="D26" s="285">
        <f t="shared" si="2"/>
        <v>200.9</v>
      </c>
      <c r="E26" s="87">
        <f>E22</f>
        <v>250.7</v>
      </c>
      <c r="F26" s="441">
        <f t="shared" si="0"/>
        <v>124.78845196615231</v>
      </c>
      <c r="G26" s="441"/>
      <c r="H26" s="441">
        <f t="shared" si="1"/>
        <v>166.91078561917442</v>
      </c>
      <c r="I26" s="444"/>
      <c r="L26" s="160"/>
      <c r="M26" s="63"/>
      <c r="N26" s="63"/>
      <c r="O26" s="26"/>
      <c r="P26" s="26"/>
      <c r="Q26" s="86"/>
      <c r="R26" s="86"/>
      <c r="S26" s="2"/>
    </row>
    <row r="27" spans="1:19" s="3" customFormat="1" ht="37.5" customHeight="1">
      <c r="A27" s="8" t="s">
        <v>191</v>
      </c>
      <c r="B27" s="344">
        <f t="shared" ref="B27" si="4">B23</f>
        <v>814.6</v>
      </c>
      <c r="C27" s="285">
        <f t="shared" si="2"/>
        <v>766.5</v>
      </c>
      <c r="D27" s="285">
        <f t="shared" si="2"/>
        <v>1085.3</v>
      </c>
      <c r="E27" s="87">
        <f>E23</f>
        <v>1689.5829999999999</v>
      </c>
      <c r="F27" s="441">
        <f t="shared" si="0"/>
        <v>155.67889062931908</v>
      </c>
      <c r="G27" s="441"/>
      <c r="H27" s="441">
        <f t="shared" si="1"/>
        <v>220.42831050228307</v>
      </c>
      <c r="I27" s="444"/>
      <c r="L27" s="160"/>
      <c r="M27" s="63"/>
      <c r="N27" s="63"/>
      <c r="O27" s="26"/>
      <c r="P27" s="26"/>
      <c r="Q27" s="86"/>
      <c r="R27" s="86"/>
      <c r="S27" s="2"/>
    </row>
    <row r="28" spans="1:19" s="3" customFormat="1" ht="20.100000000000001" customHeight="1">
      <c r="A28" s="8" t="s">
        <v>181</v>
      </c>
      <c r="B28" s="344">
        <f t="shared" ref="B28" si="5">B24</f>
        <v>4323.2999999999993</v>
      </c>
      <c r="C28" s="285">
        <f t="shared" si="2"/>
        <v>6044.3</v>
      </c>
      <c r="D28" s="285">
        <f t="shared" si="2"/>
        <v>6150.5999999999995</v>
      </c>
      <c r="E28" s="87">
        <f>E24</f>
        <v>8046.817</v>
      </c>
      <c r="F28" s="441">
        <f t="shared" si="0"/>
        <v>130.82978896367837</v>
      </c>
      <c r="G28" s="441"/>
      <c r="H28" s="441">
        <f t="shared" si="1"/>
        <v>133.13066856377083</v>
      </c>
      <c r="I28" s="444"/>
      <c r="L28" s="160"/>
      <c r="M28" s="63"/>
      <c r="N28" s="63"/>
      <c r="O28" s="26"/>
      <c r="P28" s="26"/>
      <c r="Q28" s="86"/>
      <c r="R28" s="86"/>
      <c r="S28" s="2"/>
    </row>
    <row r="29" spans="1:19" s="3" customFormat="1" ht="61.5" customHeight="1">
      <c r="A29" s="9" t="s">
        <v>208</v>
      </c>
      <c r="B29" s="291">
        <f>B25/B14/12*1000</f>
        <v>4802.536231884058</v>
      </c>
      <c r="C29" s="169">
        <v>6305</v>
      </c>
      <c r="D29" s="169">
        <f>D25/D14/12*1000</f>
        <v>7206.2015503875964</v>
      </c>
      <c r="E29" s="169">
        <f>E25/E14/12*1000</f>
        <v>8492.4319727891143</v>
      </c>
      <c r="F29" s="441">
        <f t="shared" si="0"/>
        <v>117.84893766026204</v>
      </c>
      <c r="G29" s="441"/>
      <c r="H29" s="441">
        <f t="shared" si="1"/>
        <v>134.69360781584638</v>
      </c>
      <c r="I29" s="444"/>
      <c r="L29" s="242"/>
      <c r="M29" s="243"/>
      <c r="N29" s="244"/>
      <c r="O29" s="243"/>
      <c r="P29" s="243"/>
      <c r="Q29" s="245"/>
      <c r="R29" s="245"/>
      <c r="S29" s="2"/>
    </row>
    <row r="30" spans="1:19" s="3" customFormat="1" ht="20.100000000000001" customHeight="1">
      <c r="A30" s="8" t="s">
        <v>180</v>
      </c>
      <c r="B30" s="87">
        <v>13675</v>
      </c>
      <c r="C30" s="87">
        <v>12517</v>
      </c>
      <c r="D30" s="87">
        <v>16742</v>
      </c>
      <c r="E30" s="309">
        <f>E26/12*1000</f>
        <v>20891.666666666664</v>
      </c>
      <c r="F30" s="441">
        <f t="shared" si="0"/>
        <v>124.78596742722891</v>
      </c>
      <c r="G30" s="441"/>
      <c r="H30" s="441">
        <f t="shared" si="1"/>
        <v>166.90634070996774</v>
      </c>
      <c r="I30" s="444"/>
      <c r="L30" s="242"/>
      <c r="M30" s="244"/>
      <c r="N30" s="244"/>
      <c r="O30" s="244"/>
      <c r="P30" s="244"/>
      <c r="Q30" s="245"/>
      <c r="R30" s="245"/>
      <c r="S30" s="2"/>
    </row>
    <row r="31" spans="1:19" s="3" customFormat="1" ht="42.75" customHeight="1">
      <c r="A31" s="8" t="s">
        <v>191</v>
      </c>
      <c r="B31" s="87">
        <v>4526</v>
      </c>
      <c r="C31" s="87">
        <v>4258</v>
      </c>
      <c r="D31" s="355">
        <v>6957</v>
      </c>
      <c r="E31" s="309">
        <f>E27/(E18+E16+E17+E15-1)*1000/12</f>
        <v>10057.041666666666</v>
      </c>
      <c r="F31" s="441">
        <f>E31/D31*100</f>
        <v>144.56003545589573</v>
      </c>
      <c r="G31" s="441"/>
      <c r="H31" s="441">
        <f t="shared" si="1"/>
        <v>236.1916784092688</v>
      </c>
      <c r="I31" s="444"/>
      <c r="L31" s="246"/>
      <c r="M31" s="243"/>
      <c r="N31" s="243"/>
      <c r="O31" s="243"/>
      <c r="P31" s="243"/>
      <c r="Q31" s="245"/>
      <c r="R31" s="245"/>
      <c r="S31" s="2"/>
    </row>
    <row r="32" spans="1:19" s="3" customFormat="1" ht="20.100000000000001" customHeight="1">
      <c r="A32" s="8" t="s">
        <v>181</v>
      </c>
      <c r="B32" s="87">
        <v>4740</v>
      </c>
      <c r="C32" s="87">
        <v>6541</v>
      </c>
      <c r="D32" s="355">
        <v>7119</v>
      </c>
      <c r="E32" s="309">
        <f>E28/E19/12*1000</f>
        <v>8079.1335341365475</v>
      </c>
      <c r="F32" s="441">
        <f t="shared" si="0"/>
        <v>113.48691577660553</v>
      </c>
      <c r="G32" s="441"/>
      <c r="H32" s="441">
        <f t="shared" si="1"/>
        <v>123.51526577184755</v>
      </c>
      <c r="I32" s="444"/>
      <c r="L32" s="242"/>
      <c r="M32" s="243"/>
      <c r="N32" s="243"/>
      <c r="O32" s="243"/>
      <c r="P32" s="243"/>
      <c r="Q32" s="245"/>
      <c r="R32" s="245"/>
      <c r="S32" s="2"/>
    </row>
    <row r="33" spans="1:27" s="3" customFormat="1" ht="37.5" customHeight="1">
      <c r="A33" s="9" t="s">
        <v>209</v>
      </c>
      <c r="B33" s="52">
        <f>B29</f>
        <v>4802.536231884058</v>
      </c>
      <c r="C33" s="283">
        <v>6305</v>
      </c>
      <c r="D33" s="169">
        <f>D29</f>
        <v>7206.2015503875964</v>
      </c>
      <c r="E33" s="74">
        <f>E29</f>
        <v>8492.4319727891143</v>
      </c>
      <c r="F33" s="441">
        <f t="shared" si="0"/>
        <v>117.84893766026204</v>
      </c>
      <c r="G33" s="441"/>
      <c r="H33" s="441">
        <f t="shared" si="1"/>
        <v>134.69360781584638</v>
      </c>
      <c r="I33" s="444"/>
      <c r="L33" s="242"/>
      <c r="M33" s="244"/>
      <c r="N33" s="244"/>
      <c r="O33" s="243"/>
      <c r="P33" s="243"/>
      <c r="Q33" s="245"/>
      <c r="R33" s="245"/>
      <c r="S33" s="2"/>
    </row>
    <row r="34" spans="1:27" s="3" customFormat="1" ht="20.100000000000001" customHeight="1">
      <c r="A34" s="8" t="s">
        <v>180</v>
      </c>
      <c r="B34" s="355">
        <f>B30</f>
        <v>13675</v>
      </c>
      <c r="C34" s="87">
        <v>12517</v>
      </c>
      <c r="D34" s="87">
        <f t="shared" ref="C34:D36" si="6">D30</f>
        <v>16742</v>
      </c>
      <c r="E34" s="309">
        <f>E30</f>
        <v>20891.666666666664</v>
      </c>
      <c r="F34" s="441">
        <f t="shared" si="0"/>
        <v>124.78596742722891</v>
      </c>
      <c r="G34" s="441"/>
      <c r="H34" s="441">
        <f t="shared" si="1"/>
        <v>166.90634070996774</v>
      </c>
      <c r="I34" s="444"/>
      <c r="L34" s="160"/>
      <c r="M34" s="63"/>
      <c r="N34" s="63"/>
      <c r="O34" s="26"/>
      <c r="P34" s="26"/>
      <c r="Q34" s="86"/>
      <c r="R34" s="86"/>
      <c r="S34" s="2"/>
    </row>
    <row r="35" spans="1:27" s="3" customFormat="1" ht="39" customHeight="1">
      <c r="A35" s="8" t="s">
        <v>191</v>
      </c>
      <c r="B35" s="355">
        <f>B31</f>
        <v>4526</v>
      </c>
      <c r="C35" s="292">
        <f t="shared" si="6"/>
        <v>4258</v>
      </c>
      <c r="D35" s="87">
        <f t="shared" si="6"/>
        <v>6957</v>
      </c>
      <c r="E35" s="309">
        <f>E31</f>
        <v>10057.041666666666</v>
      </c>
      <c r="F35" s="441">
        <f t="shared" si="0"/>
        <v>144.56003545589573</v>
      </c>
      <c r="G35" s="441"/>
      <c r="H35" s="441">
        <f t="shared" si="1"/>
        <v>236.1916784092688</v>
      </c>
      <c r="I35" s="444"/>
      <c r="L35" s="160"/>
      <c r="M35" s="63"/>
      <c r="N35" s="63"/>
      <c r="O35" s="26"/>
      <c r="P35" s="26"/>
      <c r="Q35" s="86"/>
      <c r="R35" s="86"/>
      <c r="S35" s="2"/>
    </row>
    <row r="36" spans="1:27" s="3" customFormat="1" ht="20.100000000000001" customHeight="1">
      <c r="A36" s="8" t="s">
        <v>181</v>
      </c>
      <c r="B36" s="355">
        <f>B32</f>
        <v>4740</v>
      </c>
      <c r="C36" s="87">
        <v>6541</v>
      </c>
      <c r="D36" s="87">
        <f t="shared" si="6"/>
        <v>7119</v>
      </c>
      <c r="E36" s="309">
        <f>E32</f>
        <v>8079.1335341365475</v>
      </c>
      <c r="F36" s="441">
        <f t="shared" si="0"/>
        <v>113.48691577660553</v>
      </c>
      <c r="G36" s="441"/>
      <c r="H36" s="441">
        <f t="shared" si="1"/>
        <v>123.51526577184755</v>
      </c>
      <c r="I36" s="444"/>
      <c r="L36" s="160"/>
      <c r="M36" s="63"/>
      <c r="N36" s="63"/>
      <c r="O36" s="26"/>
      <c r="P36" s="26"/>
      <c r="Q36" s="86"/>
      <c r="R36" s="86"/>
      <c r="S36" s="2"/>
    </row>
    <row r="37" spans="1:27" ht="20.100000000000001" customHeight="1">
      <c r="A37" s="46"/>
      <c r="B37" s="36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7" ht="41.25" customHeight="1">
      <c r="A38" s="488" t="s">
        <v>246</v>
      </c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</row>
    <row r="39" spans="1:27" ht="20.100000000000001" customHeight="1">
      <c r="A39" s="15"/>
      <c r="B39" s="15"/>
    </row>
    <row r="40" spans="1:27" ht="72" customHeight="1">
      <c r="A40" s="448" t="s">
        <v>182</v>
      </c>
      <c r="B40" s="348"/>
      <c r="C40" s="453" t="s">
        <v>210</v>
      </c>
      <c r="D40" s="490"/>
      <c r="E40" s="453" t="s">
        <v>368</v>
      </c>
      <c r="F40" s="505"/>
      <c r="G40" s="454"/>
      <c r="H40" s="485" t="s">
        <v>394</v>
      </c>
      <c r="I40" s="486"/>
      <c r="J40" s="453" t="s">
        <v>390</v>
      </c>
      <c r="K40" s="505"/>
      <c r="L40" s="454"/>
      <c r="M40" s="485" t="s">
        <v>407</v>
      </c>
      <c r="N40" s="487"/>
      <c r="O40" s="38"/>
      <c r="P40" s="38"/>
      <c r="Q40" s="38"/>
      <c r="R40" s="38"/>
    </row>
    <row r="41" spans="1:27" ht="154.5" customHeight="1">
      <c r="A41" s="448"/>
      <c r="B41" s="348"/>
      <c r="C41" s="178" t="s">
        <v>56</v>
      </c>
      <c r="D41" s="178" t="s">
        <v>358</v>
      </c>
      <c r="E41" s="308" t="s">
        <v>399</v>
      </c>
      <c r="F41" s="455" t="s">
        <v>211</v>
      </c>
      <c r="G41" s="457"/>
      <c r="H41" s="308" t="s">
        <v>400</v>
      </c>
      <c r="I41" s="176" t="s">
        <v>211</v>
      </c>
      <c r="J41" s="308" t="s">
        <v>400</v>
      </c>
      <c r="K41" s="455" t="s">
        <v>211</v>
      </c>
      <c r="L41" s="457"/>
      <c r="M41" s="308" t="s">
        <v>400</v>
      </c>
      <c r="N41" s="179" t="s">
        <v>211</v>
      </c>
      <c r="O41" s="38"/>
      <c r="P41" s="38"/>
      <c r="Q41" s="38"/>
      <c r="R41" s="38"/>
    </row>
    <row r="42" spans="1:27" ht="18" customHeight="1">
      <c r="A42" s="7">
        <v>1</v>
      </c>
      <c r="B42" s="344"/>
      <c r="C42" s="7">
        <v>2</v>
      </c>
      <c r="D42" s="7">
        <v>3</v>
      </c>
      <c r="E42" s="7">
        <v>4</v>
      </c>
      <c r="F42" s="435">
        <v>5</v>
      </c>
      <c r="G42" s="436"/>
      <c r="H42" s="7">
        <v>6</v>
      </c>
      <c r="I42" s="7">
        <v>7</v>
      </c>
      <c r="J42" s="7">
        <v>8</v>
      </c>
      <c r="K42" s="435">
        <v>9</v>
      </c>
      <c r="L42" s="436"/>
      <c r="M42" s="7">
        <v>10</v>
      </c>
      <c r="N42" s="7">
        <v>11</v>
      </c>
      <c r="O42" s="20"/>
      <c r="P42" s="20"/>
      <c r="Q42" s="20"/>
      <c r="R42" s="20"/>
      <c r="AA42" s="21"/>
    </row>
    <row r="43" spans="1:27" ht="20.100000000000001" customHeight="1">
      <c r="A43" s="175" t="s">
        <v>288</v>
      </c>
      <c r="B43" s="265"/>
      <c r="C43" s="10">
        <v>100</v>
      </c>
      <c r="D43" s="10">
        <v>100</v>
      </c>
      <c r="E43" s="221">
        <f>'1.Фінансовий результат'!D13</f>
        <v>15485.199999999999</v>
      </c>
      <c r="F43" s="491"/>
      <c r="G43" s="492"/>
      <c r="H43" s="10">
        <f>'1.Фінансовий результат'!E13</f>
        <v>15217</v>
      </c>
      <c r="I43" s="51"/>
      <c r="J43" s="239">
        <f>'[36]1.Фінансовий результат'!$D$13</f>
        <v>8705.4000000000015</v>
      </c>
      <c r="K43" s="427"/>
      <c r="L43" s="428"/>
      <c r="M43" s="10">
        <f>'1.Фінансовий результат'!F13</f>
        <v>18975.400000000001</v>
      </c>
      <c r="N43" s="51"/>
      <c r="O43" s="63"/>
      <c r="P43" s="63"/>
      <c r="Q43" s="334">
        <f>J43*4</f>
        <v>34821.600000000006</v>
      </c>
      <c r="R43" s="63"/>
    </row>
    <row r="44" spans="1:27" ht="20.100000000000001" customHeight="1">
      <c r="A44" s="8"/>
      <c r="B44" s="8"/>
      <c r="C44" s="10"/>
      <c r="D44" s="10"/>
      <c r="E44" s="185"/>
      <c r="F44" s="491"/>
      <c r="G44" s="492"/>
      <c r="H44" s="10"/>
      <c r="I44" s="235"/>
      <c r="J44" s="185"/>
      <c r="K44" s="427"/>
      <c r="L44" s="428"/>
      <c r="M44" s="10"/>
      <c r="N44" s="51"/>
      <c r="O44" s="63"/>
      <c r="P44" s="63"/>
      <c r="Q44" s="63"/>
      <c r="R44" s="63"/>
    </row>
    <row r="45" spans="1:27" ht="20.100000000000001" customHeight="1">
      <c r="A45" s="8" t="s">
        <v>40</v>
      </c>
      <c r="B45" s="8"/>
      <c r="C45" s="74">
        <v>100</v>
      </c>
      <c r="D45" s="74">
        <f>D43</f>
        <v>100</v>
      </c>
      <c r="E45" s="74">
        <f>E43</f>
        <v>15485.199999999999</v>
      </c>
      <c r="F45" s="491"/>
      <c r="G45" s="492"/>
      <c r="H45" s="74">
        <f>H43</f>
        <v>15217</v>
      </c>
      <c r="I45" s="52"/>
      <c r="J45" s="238">
        <f>J43</f>
        <v>8705.4000000000015</v>
      </c>
      <c r="K45" s="427"/>
      <c r="L45" s="428"/>
      <c r="M45" s="74">
        <f>M43</f>
        <v>18975.400000000001</v>
      </c>
      <c r="N45" s="52"/>
      <c r="O45" s="64"/>
      <c r="P45" s="64"/>
      <c r="Q45" s="64"/>
      <c r="R45" s="64"/>
    </row>
    <row r="46" spans="1:27" ht="20.100000000000001" customHeight="1">
      <c r="A46" s="17"/>
      <c r="B46" s="17"/>
      <c r="C46" s="18"/>
      <c r="D46" s="18"/>
      <c r="E46" s="225"/>
      <c r="F46" s="18"/>
      <c r="G46" s="18"/>
      <c r="H46" s="18"/>
      <c r="I46" s="18"/>
      <c r="J46" s="11"/>
      <c r="K46" s="11"/>
      <c r="L46" s="11"/>
      <c r="M46" s="5"/>
      <c r="N46" s="5"/>
      <c r="O46" s="5"/>
      <c r="P46" s="5"/>
      <c r="Q46" s="5"/>
      <c r="R46" s="5"/>
    </row>
    <row r="47" spans="1:27" ht="21.95" customHeight="1">
      <c r="A47" s="5" t="s">
        <v>228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27" ht="81.75" customHeight="1">
      <c r="A48" s="308" t="s">
        <v>102</v>
      </c>
      <c r="B48" s="356"/>
      <c r="C48" s="455" t="s">
        <v>54</v>
      </c>
      <c r="D48" s="489"/>
      <c r="E48" s="147"/>
      <c r="F48" s="308" t="s">
        <v>231</v>
      </c>
      <c r="G48" s="308"/>
      <c r="H48" s="308" t="s">
        <v>51</v>
      </c>
      <c r="I48" s="308" t="s">
        <v>212</v>
      </c>
      <c r="J48" s="308" t="s">
        <v>68</v>
      </c>
      <c r="K48" s="435" t="s">
        <v>19</v>
      </c>
      <c r="L48" s="458"/>
      <c r="M48" s="462"/>
      <c r="N48" s="461"/>
      <c r="O48" s="38"/>
      <c r="P48" s="38"/>
      <c r="Q48" s="38"/>
      <c r="R48" s="38"/>
    </row>
    <row r="49" spans="1:18" ht="18" customHeight="1">
      <c r="A49" s="6">
        <v>1</v>
      </c>
      <c r="B49" s="371"/>
      <c r="C49" s="435">
        <v>2</v>
      </c>
      <c r="D49" s="461"/>
      <c r="E49" s="147"/>
      <c r="F49" s="6">
        <v>3</v>
      </c>
      <c r="G49" s="6"/>
      <c r="H49" s="6">
        <v>4</v>
      </c>
      <c r="I49" s="6">
        <v>5</v>
      </c>
      <c r="J49" s="56">
        <v>6</v>
      </c>
      <c r="K49" s="435">
        <v>7</v>
      </c>
      <c r="L49" s="458"/>
      <c r="M49" s="462"/>
      <c r="N49" s="460"/>
      <c r="O49" s="20"/>
      <c r="P49" s="20"/>
      <c r="Q49" s="20"/>
      <c r="R49" s="20"/>
    </row>
    <row r="50" spans="1:18" ht="20.100000000000001" customHeight="1">
      <c r="A50" s="8"/>
      <c r="B50" s="347"/>
      <c r="C50" s="427"/>
      <c r="D50" s="461"/>
      <c r="E50" s="147"/>
      <c r="F50" s="51"/>
      <c r="G50" s="51"/>
      <c r="H50" s="51"/>
      <c r="I50" s="51"/>
      <c r="J50" s="10"/>
      <c r="K50" s="435"/>
      <c r="L50" s="458"/>
      <c r="M50" s="462"/>
      <c r="N50" s="461"/>
      <c r="O50" s="63"/>
      <c r="P50" s="63"/>
      <c r="Q50" s="63"/>
      <c r="R50" s="63"/>
    </row>
    <row r="51" spans="1:18" ht="20.100000000000001" customHeight="1">
      <c r="A51" s="8"/>
      <c r="B51" s="347"/>
      <c r="C51" s="427"/>
      <c r="D51" s="461"/>
      <c r="E51" s="147"/>
      <c r="F51" s="57"/>
      <c r="G51" s="57"/>
      <c r="H51" s="51"/>
      <c r="I51" s="57"/>
      <c r="J51" s="58"/>
      <c r="K51" s="435"/>
      <c r="L51" s="458"/>
      <c r="M51" s="462"/>
      <c r="N51" s="461"/>
      <c r="O51" s="63"/>
      <c r="P51" s="63"/>
      <c r="Q51" s="63"/>
      <c r="R51" s="63"/>
    </row>
    <row r="52" spans="1:18" ht="20.100000000000001" customHeight="1">
      <c r="A52" s="8"/>
      <c r="B52" s="347"/>
      <c r="C52" s="427"/>
      <c r="D52" s="461"/>
      <c r="E52" s="147"/>
      <c r="F52" s="51"/>
      <c r="G52" s="51"/>
      <c r="H52" s="51"/>
      <c r="I52" s="51"/>
      <c r="J52" s="10"/>
      <c r="K52" s="435"/>
      <c r="L52" s="458"/>
      <c r="M52" s="462"/>
      <c r="N52" s="461"/>
      <c r="O52" s="63"/>
      <c r="P52" s="63"/>
      <c r="Q52" s="63"/>
      <c r="R52" s="63"/>
    </row>
    <row r="53" spans="1:18" ht="20.100000000000001" customHeight="1">
      <c r="A53" s="8" t="s">
        <v>40</v>
      </c>
      <c r="B53" s="347"/>
      <c r="C53" s="435" t="s">
        <v>20</v>
      </c>
      <c r="D53" s="461"/>
      <c r="E53" s="147"/>
      <c r="F53" s="7"/>
      <c r="G53" s="7"/>
      <c r="H53" s="7" t="s">
        <v>20</v>
      </c>
      <c r="I53" s="7" t="s">
        <v>20</v>
      </c>
      <c r="J53" s="7"/>
      <c r="K53" s="435" t="s">
        <v>20</v>
      </c>
      <c r="L53" s="458"/>
      <c r="M53" s="462"/>
      <c r="N53" s="461"/>
      <c r="O53" s="63"/>
      <c r="P53" s="63"/>
      <c r="Q53" s="63"/>
      <c r="R53" s="63"/>
    </row>
    <row r="54" spans="1:18" ht="20.100000000000001" customHeight="1">
      <c r="A54" s="11"/>
      <c r="B54" s="34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3"/>
      <c r="O54" s="3"/>
      <c r="P54" s="3"/>
      <c r="Q54" s="3"/>
      <c r="R54" s="3"/>
    </row>
    <row r="55" spans="1:18" ht="21.95" customHeight="1">
      <c r="A55" s="5" t="s">
        <v>229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20.100000000000001" customHeight="1">
      <c r="A56" s="5"/>
      <c r="B56" s="5"/>
      <c r="C56" s="14"/>
      <c r="D56" s="14"/>
      <c r="E56" s="14"/>
      <c r="F56" s="5"/>
      <c r="G56" s="5"/>
      <c r="H56" s="5"/>
      <c r="I56" s="5"/>
      <c r="J56" s="5"/>
      <c r="K56" s="5"/>
      <c r="L56" s="5"/>
    </row>
    <row r="57" spans="1:18" ht="57.75" customHeight="1">
      <c r="A57" s="176" t="s">
        <v>50</v>
      </c>
      <c r="B57" s="356"/>
      <c r="C57" s="455" t="s">
        <v>361</v>
      </c>
      <c r="D57" s="456"/>
      <c r="E57" s="457"/>
      <c r="F57" s="429" t="s">
        <v>221</v>
      </c>
      <c r="G57" s="500"/>
      <c r="H57" s="502"/>
      <c r="I57" s="484" t="s">
        <v>220</v>
      </c>
      <c r="J57" s="484"/>
      <c r="K57" s="429" t="s">
        <v>69</v>
      </c>
      <c r="L57" s="500"/>
      <c r="M57" s="501"/>
      <c r="N57" s="502"/>
      <c r="O57" s="38"/>
      <c r="P57" s="38"/>
      <c r="Q57" s="38"/>
      <c r="R57" s="38"/>
    </row>
    <row r="58" spans="1:18" ht="18" customHeight="1">
      <c r="A58" s="7">
        <v>1</v>
      </c>
      <c r="B58" s="348"/>
      <c r="C58" s="435">
        <v>2</v>
      </c>
      <c r="D58" s="462"/>
      <c r="E58" s="91"/>
      <c r="F58" s="435">
        <v>3</v>
      </c>
      <c r="G58" s="458"/>
      <c r="H58" s="461"/>
      <c r="I58" s="498">
        <v>4</v>
      </c>
      <c r="J58" s="499"/>
      <c r="K58" s="435">
        <v>5</v>
      </c>
      <c r="L58" s="458"/>
      <c r="M58" s="459"/>
      <c r="N58" s="460"/>
      <c r="O58" s="20"/>
      <c r="P58" s="20"/>
      <c r="Q58" s="20"/>
      <c r="R58" s="20"/>
    </row>
    <row r="59" spans="1:18" ht="37.5" customHeight="1">
      <c r="A59" s="8" t="s">
        <v>213</v>
      </c>
      <c r="B59" s="347"/>
      <c r="C59" s="450"/>
      <c r="D59" s="451"/>
      <c r="E59" s="150"/>
      <c r="F59" s="92"/>
      <c r="G59" s="120"/>
      <c r="H59" s="57"/>
      <c r="I59" s="95"/>
      <c r="J59" s="57"/>
      <c r="K59" s="93"/>
      <c r="L59" s="158"/>
      <c r="M59" s="91"/>
      <c r="N59" s="96"/>
      <c r="O59" s="63"/>
      <c r="P59" s="63"/>
      <c r="Q59" s="63"/>
      <c r="R59" s="63"/>
    </row>
    <row r="60" spans="1:18" ht="20.100000000000001" customHeight="1">
      <c r="A60" s="8" t="s">
        <v>82</v>
      </c>
      <c r="B60" s="347"/>
      <c r="C60" s="450"/>
      <c r="D60" s="451"/>
      <c r="E60" s="150"/>
      <c r="F60" s="92"/>
      <c r="G60" s="120"/>
      <c r="H60" s="57"/>
      <c r="I60" s="95"/>
      <c r="J60" s="57"/>
      <c r="K60" s="93"/>
      <c r="L60" s="158"/>
      <c r="M60" s="91"/>
      <c r="N60" s="96"/>
      <c r="O60" s="63"/>
      <c r="P60" s="63"/>
      <c r="Q60" s="63"/>
      <c r="R60" s="63"/>
    </row>
    <row r="61" spans="1:18" ht="20.100000000000001" customHeight="1">
      <c r="A61" s="8"/>
      <c r="B61" s="347"/>
      <c r="C61" s="450"/>
      <c r="D61" s="451"/>
      <c r="E61" s="150"/>
      <c r="F61" s="92"/>
      <c r="G61" s="120"/>
      <c r="H61" s="57"/>
      <c r="I61" s="95"/>
      <c r="J61" s="57"/>
      <c r="K61" s="93"/>
      <c r="L61" s="158"/>
      <c r="M61" s="91"/>
      <c r="N61" s="96"/>
      <c r="O61" s="63"/>
      <c r="P61" s="63"/>
      <c r="Q61" s="63"/>
      <c r="R61" s="63"/>
    </row>
    <row r="62" spans="1:18" ht="39" customHeight="1">
      <c r="A62" s="8" t="s">
        <v>214</v>
      </c>
      <c r="B62" s="347"/>
      <c r="C62" s="450"/>
      <c r="D62" s="451"/>
      <c r="E62" s="150"/>
      <c r="F62" s="92"/>
      <c r="G62" s="120"/>
      <c r="H62" s="57"/>
      <c r="I62" s="95"/>
      <c r="J62" s="57"/>
      <c r="K62" s="93"/>
      <c r="L62" s="158"/>
      <c r="M62" s="91"/>
      <c r="N62" s="96"/>
      <c r="O62" s="63"/>
      <c r="P62" s="63"/>
      <c r="Q62" s="63"/>
      <c r="R62" s="63"/>
    </row>
    <row r="63" spans="1:18" ht="20.100000000000001" customHeight="1">
      <c r="A63" s="8" t="s">
        <v>83</v>
      </c>
      <c r="B63" s="347"/>
      <c r="C63" s="450"/>
      <c r="D63" s="451"/>
      <c r="E63" s="150"/>
      <c r="F63" s="92"/>
      <c r="G63" s="120"/>
      <c r="H63" s="57"/>
      <c r="I63" s="95"/>
      <c r="J63" s="57"/>
      <c r="K63" s="93"/>
      <c r="L63" s="158"/>
      <c r="M63" s="91"/>
      <c r="N63" s="96"/>
      <c r="O63" s="63"/>
      <c r="P63" s="63"/>
      <c r="Q63" s="63"/>
      <c r="R63" s="63"/>
    </row>
    <row r="64" spans="1:18" ht="20.100000000000001" customHeight="1">
      <c r="A64" s="8"/>
      <c r="B64" s="347"/>
      <c r="C64" s="450"/>
      <c r="D64" s="451"/>
      <c r="E64" s="150"/>
      <c r="F64" s="92"/>
      <c r="G64" s="120"/>
      <c r="H64" s="57"/>
      <c r="I64" s="95"/>
      <c r="J64" s="57"/>
      <c r="K64" s="93"/>
      <c r="L64" s="158"/>
      <c r="M64" s="91"/>
      <c r="N64" s="96"/>
      <c r="O64" s="63"/>
      <c r="P64" s="63"/>
      <c r="Q64" s="63"/>
      <c r="R64" s="63"/>
    </row>
    <row r="65" spans="1:37" ht="43.5" customHeight="1">
      <c r="A65" s="8" t="s">
        <v>215</v>
      </c>
      <c r="B65" s="347"/>
      <c r="C65" s="450"/>
      <c r="D65" s="451"/>
      <c r="E65" s="150"/>
      <c r="F65" s="92"/>
      <c r="G65" s="120"/>
      <c r="H65" s="57"/>
      <c r="I65" s="95"/>
      <c r="J65" s="57"/>
      <c r="K65" s="93"/>
      <c r="L65" s="158"/>
      <c r="M65" s="91"/>
      <c r="N65" s="96"/>
      <c r="O65" s="63"/>
      <c r="P65" s="63"/>
      <c r="Q65" s="63"/>
      <c r="R65" s="63"/>
    </row>
    <row r="66" spans="1:37" ht="20.100000000000001" customHeight="1">
      <c r="A66" s="8" t="s">
        <v>82</v>
      </c>
      <c r="B66" s="347"/>
      <c r="C66" s="450"/>
      <c r="D66" s="451"/>
      <c r="E66" s="150"/>
      <c r="F66" s="92"/>
      <c r="G66" s="120"/>
      <c r="H66" s="57"/>
      <c r="I66" s="95"/>
      <c r="J66" s="57"/>
      <c r="K66" s="93"/>
      <c r="L66" s="158"/>
      <c r="M66" s="91"/>
      <c r="N66" s="96"/>
      <c r="O66" s="63"/>
      <c r="P66" s="63"/>
      <c r="Q66" s="63"/>
      <c r="R66" s="63"/>
    </row>
    <row r="67" spans="1:37" ht="20.100000000000001" customHeight="1">
      <c r="A67" s="8"/>
      <c r="B67" s="347"/>
      <c r="C67" s="450"/>
      <c r="D67" s="451"/>
      <c r="E67" s="150"/>
      <c r="F67" s="92"/>
      <c r="G67" s="120"/>
      <c r="H67" s="57"/>
      <c r="I67" s="95"/>
      <c r="J67" s="57"/>
      <c r="K67" s="93"/>
      <c r="L67" s="158"/>
      <c r="M67" s="91"/>
      <c r="N67" s="96"/>
      <c r="O67" s="63"/>
      <c r="P67" s="63"/>
      <c r="Q67" s="63"/>
      <c r="R67" s="63"/>
    </row>
    <row r="68" spans="1:37" ht="20.100000000000001" customHeight="1">
      <c r="A68" s="8" t="s">
        <v>40</v>
      </c>
      <c r="B68" s="347"/>
      <c r="C68" s="450"/>
      <c r="D68" s="451"/>
      <c r="E68" s="150"/>
      <c r="F68" s="92"/>
      <c r="G68" s="120"/>
      <c r="H68" s="94"/>
      <c r="I68" s="95"/>
      <c r="J68" s="94"/>
      <c r="K68" s="97"/>
      <c r="L68" s="162"/>
      <c r="M68" s="91"/>
      <c r="N68" s="96"/>
      <c r="O68" s="63"/>
      <c r="P68" s="63"/>
      <c r="Q68" s="63"/>
      <c r="R68" s="63"/>
    </row>
    <row r="69" spans="1:37">
      <c r="F69" s="25"/>
      <c r="G69" s="25"/>
      <c r="H69" s="25"/>
      <c r="I69" s="25"/>
      <c r="Q69" s="63"/>
      <c r="R69" s="63"/>
    </row>
    <row r="70" spans="1:37">
      <c r="A70" s="452" t="s">
        <v>247</v>
      </c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39"/>
      <c r="P70" s="39"/>
      <c r="Q70" s="63"/>
      <c r="R70" s="63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7" ht="18.75" customHeight="1">
      <c r="A71" s="493" t="s">
        <v>35</v>
      </c>
      <c r="B71" s="372"/>
      <c r="C71" s="535" t="s">
        <v>148</v>
      </c>
      <c r="D71" s="536"/>
      <c r="E71" s="155"/>
      <c r="F71" s="527" t="s">
        <v>149</v>
      </c>
      <c r="G71" s="527" t="s">
        <v>291</v>
      </c>
      <c r="H71" s="518" t="s">
        <v>290</v>
      </c>
      <c r="I71" s="519"/>
      <c r="J71" s="495" t="s">
        <v>232</v>
      </c>
      <c r="K71" s="496"/>
      <c r="L71" s="496"/>
      <c r="M71" s="496"/>
      <c r="N71" s="496"/>
      <c r="O71" s="497"/>
      <c r="P71" s="38"/>
      <c r="Q71" s="63"/>
      <c r="R71" s="63"/>
      <c r="S71" s="38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7" ht="49.5" customHeight="1">
      <c r="A72" s="494"/>
      <c r="B72" s="373"/>
      <c r="C72" s="537"/>
      <c r="D72" s="538"/>
      <c r="E72" s="156"/>
      <c r="F72" s="528"/>
      <c r="G72" s="528"/>
      <c r="H72" s="520"/>
      <c r="I72" s="521"/>
      <c r="J72" s="219" t="s">
        <v>150</v>
      </c>
      <c r="K72" s="453" t="s">
        <v>385</v>
      </c>
      <c r="L72" s="454"/>
      <c r="M72" s="223" t="s">
        <v>24</v>
      </c>
      <c r="N72" s="218" t="s">
        <v>151</v>
      </c>
      <c r="O72" s="224" t="s">
        <v>152</v>
      </c>
      <c r="P72" s="38"/>
      <c r="Q72" s="63"/>
      <c r="R72" s="63"/>
      <c r="S72" s="38"/>
      <c r="T72" s="38"/>
      <c r="U72" s="38"/>
      <c r="V72" s="38"/>
      <c r="W72" s="38"/>
      <c r="X72" s="38"/>
      <c r="Y72" s="38"/>
      <c r="Z72" s="38"/>
      <c r="AA72" s="38"/>
      <c r="AB72" s="20"/>
      <c r="AC72" s="20"/>
      <c r="AD72" s="20"/>
      <c r="AE72" s="20"/>
      <c r="AF72" s="20"/>
    </row>
    <row r="73" spans="1:37" ht="48" customHeight="1">
      <c r="A73" s="61" t="s">
        <v>393</v>
      </c>
      <c r="B73" s="354"/>
      <c r="C73" s="524" t="s">
        <v>323</v>
      </c>
      <c r="D73" s="525"/>
      <c r="E73" s="149"/>
      <c r="F73" s="59" t="s">
        <v>322</v>
      </c>
      <c r="G73" s="59" t="s">
        <v>289</v>
      </c>
      <c r="H73" s="522">
        <f>J73+K73+M73+N73+O73</f>
        <v>254.00521999999998</v>
      </c>
      <c r="I73" s="523"/>
      <c r="J73" s="237">
        <f>91.5*2.3</f>
        <v>210.45</v>
      </c>
      <c r="K73" s="544">
        <f>35701/1000</f>
        <v>35.701000000000001</v>
      </c>
      <c r="L73" s="544"/>
      <c r="M73" s="287">
        <f>K73*0.22</f>
        <v>7.8542199999999998</v>
      </c>
      <c r="N73" s="236">
        <v>0</v>
      </c>
      <c r="O73" s="226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4" spans="1:37">
      <c r="A74" s="19"/>
      <c r="B74" s="19"/>
      <c r="C74" s="130"/>
      <c r="D74" s="131"/>
      <c r="E74" s="131"/>
      <c r="F74" s="65"/>
      <c r="G74" s="65"/>
      <c r="H74" s="132"/>
      <c r="I74" s="133"/>
      <c r="J74" s="134"/>
      <c r="K74" s="134"/>
      <c r="L74" s="134"/>
      <c r="M74" s="134"/>
      <c r="N74" s="134"/>
      <c r="O74" s="66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K74" s="4"/>
    </row>
    <row r="75" spans="1:37">
      <c r="A75" s="452" t="s">
        <v>248</v>
      </c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27"/>
      <c r="M75" s="27"/>
      <c r="N75" s="27"/>
      <c r="O75" s="27"/>
      <c r="P75" s="27"/>
      <c r="Q75" s="63"/>
      <c r="R75" s="63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7" ht="18.75" customHeight="1">
      <c r="A76" s="541" t="s">
        <v>35</v>
      </c>
      <c r="B76" s="351"/>
      <c r="C76" s="529" t="s">
        <v>153</v>
      </c>
      <c r="D76" s="530"/>
      <c r="E76" s="151"/>
      <c r="F76" s="475" t="s">
        <v>148</v>
      </c>
      <c r="G76" s="475" t="s">
        <v>219</v>
      </c>
      <c r="H76" s="475" t="s">
        <v>290</v>
      </c>
      <c r="I76" s="475" t="s">
        <v>154</v>
      </c>
      <c r="J76" s="435" t="s">
        <v>155</v>
      </c>
      <c r="K76" s="458"/>
      <c r="L76" s="458"/>
      <c r="M76" s="458"/>
      <c r="N76" s="458"/>
      <c r="O76" s="436"/>
      <c r="P76" s="38"/>
      <c r="Q76" s="63"/>
      <c r="R76" s="63"/>
      <c r="S76" s="38"/>
      <c r="T76" s="38"/>
      <c r="U76" s="38"/>
      <c r="V76" s="38"/>
      <c r="W76" s="38"/>
      <c r="X76" s="38"/>
      <c r="Y76" s="20"/>
      <c r="Z76" s="20"/>
      <c r="AA76" s="20"/>
      <c r="AB76" s="20"/>
      <c r="AC76" s="20"/>
      <c r="AD76" s="20"/>
      <c r="AE76" s="20"/>
      <c r="AF76" s="20"/>
    </row>
    <row r="77" spans="1:37" ht="18.75" customHeight="1">
      <c r="A77" s="542"/>
      <c r="B77" s="352"/>
      <c r="C77" s="531"/>
      <c r="D77" s="532"/>
      <c r="E77" s="152"/>
      <c r="F77" s="526"/>
      <c r="G77" s="526"/>
      <c r="H77" s="526"/>
      <c r="I77" s="526"/>
      <c r="J77" s="475" t="s">
        <v>156</v>
      </c>
      <c r="K77" s="435" t="s">
        <v>78</v>
      </c>
      <c r="L77" s="458"/>
      <c r="M77" s="458"/>
      <c r="N77" s="458"/>
      <c r="O77" s="436"/>
      <c r="P77" s="38"/>
      <c r="Q77" s="38"/>
      <c r="R77" s="38"/>
      <c r="S77" s="38"/>
      <c r="T77" s="38"/>
      <c r="U77" s="38"/>
      <c r="V77" s="38"/>
      <c r="W77" s="38"/>
      <c r="X77" s="38"/>
      <c r="Y77" s="20"/>
      <c r="Z77" s="20"/>
      <c r="AA77" s="20"/>
      <c r="AB77" s="20"/>
      <c r="AC77" s="20"/>
      <c r="AD77" s="20"/>
      <c r="AE77" s="20"/>
      <c r="AF77" s="20"/>
    </row>
    <row r="78" spans="1:37" ht="18" customHeight="1">
      <c r="A78" s="543"/>
      <c r="B78" s="353"/>
      <c r="C78" s="533"/>
      <c r="D78" s="534"/>
      <c r="E78" s="153"/>
      <c r="F78" s="476"/>
      <c r="G78" s="476"/>
      <c r="H78" s="476"/>
      <c r="I78" s="476"/>
      <c r="J78" s="476"/>
      <c r="K78" s="7" t="s">
        <v>233</v>
      </c>
      <c r="L78" s="7"/>
      <c r="M78" s="7" t="s">
        <v>234</v>
      </c>
      <c r="N78" s="7" t="s">
        <v>235</v>
      </c>
      <c r="O78" s="7" t="s">
        <v>236</v>
      </c>
      <c r="P78" s="38"/>
      <c r="Q78" s="38"/>
      <c r="R78" s="38"/>
      <c r="S78" s="38"/>
      <c r="T78" s="38"/>
      <c r="U78" s="38"/>
      <c r="V78" s="38"/>
      <c r="W78" s="38"/>
      <c r="X78" s="38"/>
      <c r="Y78" s="20"/>
      <c r="Z78" s="20"/>
      <c r="AA78" s="20"/>
      <c r="AB78" s="20"/>
      <c r="AC78" s="20"/>
      <c r="AD78" s="20"/>
      <c r="AE78" s="20"/>
      <c r="AF78" s="20"/>
    </row>
    <row r="79" spans="1:37">
      <c r="A79" s="43">
        <v>1</v>
      </c>
      <c r="B79" s="350"/>
      <c r="C79" s="524">
        <v>2</v>
      </c>
      <c r="D79" s="525"/>
      <c r="E79" s="149"/>
      <c r="F79" s="59">
        <v>3</v>
      </c>
      <c r="G79" s="59"/>
      <c r="H79" s="59">
        <v>4</v>
      </c>
      <c r="I79" s="59">
        <v>5</v>
      </c>
      <c r="J79" s="59">
        <v>6</v>
      </c>
      <c r="K79" s="59">
        <v>7</v>
      </c>
      <c r="L79" s="59"/>
      <c r="M79" s="59">
        <v>8</v>
      </c>
      <c r="N79" s="59">
        <v>9</v>
      </c>
      <c r="O79" s="59">
        <v>10</v>
      </c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46"/>
      <c r="AB79" s="46"/>
      <c r="AC79" s="46"/>
      <c r="AD79" s="46"/>
      <c r="AE79" s="46"/>
      <c r="AF79" s="46"/>
    </row>
    <row r="80" spans="1:37">
      <c r="A80" s="61" t="s">
        <v>40</v>
      </c>
      <c r="B80" s="354"/>
      <c r="C80" s="539"/>
      <c r="D80" s="540"/>
      <c r="E80" s="154"/>
      <c r="F80" s="61"/>
      <c r="G80" s="61"/>
      <c r="H80" s="61"/>
      <c r="I80" s="61"/>
      <c r="J80" s="77">
        <v>0</v>
      </c>
      <c r="K80" s="61"/>
      <c r="L80" s="61"/>
      <c r="M80" s="61"/>
      <c r="N80" s="61"/>
      <c r="O80" s="61"/>
      <c r="P80" s="19"/>
      <c r="Q80" s="19"/>
      <c r="R80" s="19"/>
      <c r="S80" s="19"/>
      <c r="T80" s="19"/>
      <c r="U80" s="19"/>
      <c r="V80" s="19"/>
      <c r="W80" s="19"/>
      <c r="X80" s="19"/>
      <c r="Y80" s="63"/>
      <c r="Z80" s="63"/>
      <c r="AA80" s="63"/>
      <c r="AB80" s="63"/>
      <c r="AC80" s="63"/>
      <c r="AD80" s="63"/>
      <c r="AE80" s="63"/>
      <c r="AF80" s="63"/>
    </row>
    <row r="81" spans="1:32">
      <c r="A81" s="452" t="s">
        <v>230</v>
      </c>
      <c r="B81" s="452"/>
      <c r="C81" s="452"/>
      <c r="D81" s="452"/>
      <c r="E81" s="452"/>
      <c r="F81" s="452"/>
      <c r="G81" s="452"/>
      <c r="H81" s="452"/>
      <c r="I81" s="452"/>
      <c r="J81" s="21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1"/>
      <c r="Z81" s="504" t="s">
        <v>173</v>
      </c>
      <c r="AA81" s="504"/>
      <c r="AB81" s="504"/>
      <c r="AC81" s="504"/>
      <c r="AD81" s="504"/>
      <c r="AE81" s="504"/>
      <c r="AF81" s="504"/>
    </row>
    <row r="82" spans="1:32" ht="18.75" customHeight="1">
      <c r="A82" s="448" t="s">
        <v>35</v>
      </c>
      <c r="B82" s="359"/>
      <c r="C82" s="467" t="s">
        <v>174</v>
      </c>
      <c r="D82" s="468"/>
      <c r="E82" s="95"/>
      <c r="F82" s="458" t="s">
        <v>39</v>
      </c>
      <c r="G82" s="458"/>
      <c r="H82" s="458"/>
      <c r="I82" s="458"/>
      <c r="J82" s="458"/>
      <c r="K82" s="436"/>
      <c r="L82" s="157"/>
      <c r="M82" s="435" t="s">
        <v>70</v>
      </c>
      <c r="N82" s="458"/>
      <c r="O82" s="458"/>
      <c r="P82" s="458"/>
      <c r="Q82" s="436"/>
      <c r="R82" s="435" t="s">
        <v>195</v>
      </c>
      <c r="S82" s="458"/>
      <c r="T82" s="458"/>
      <c r="U82" s="458"/>
      <c r="V82" s="436"/>
      <c r="W82" s="435" t="s">
        <v>103</v>
      </c>
      <c r="X82" s="458"/>
      <c r="Y82" s="458"/>
      <c r="Z82" s="458"/>
      <c r="AA82" s="436"/>
      <c r="AB82" s="448" t="s">
        <v>40</v>
      </c>
      <c r="AC82" s="448"/>
      <c r="AD82" s="448"/>
      <c r="AE82" s="448"/>
      <c r="AF82" s="448"/>
    </row>
    <row r="83" spans="1:32" ht="18.75" customHeight="1">
      <c r="A83" s="448"/>
      <c r="B83" s="360"/>
      <c r="C83" s="477"/>
      <c r="D83" s="470"/>
      <c r="E83" s="475" t="s">
        <v>107</v>
      </c>
      <c r="F83" s="448" t="s">
        <v>78</v>
      </c>
      <c r="G83" s="448"/>
      <c r="H83" s="448"/>
      <c r="I83" s="448"/>
      <c r="J83" s="448"/>
      <c r="K83" s="448"/>
      <c r="L83" s="448"/>
      <c r="M83" s="475" t="s">
        <v>107</v>
      </c>
      <c r="N83" s="435" t="s">
        <v>78</v>
      </c>
      <c r="O83" s="462"/>
      <c r="P83" s="462"/>
      <c r="Q83" s="461"/>
      <c r="R83" s="475" t="s">
        <v>321</v>
      </c>
      <c r="S83" s="435" t="s">
        <v>78</v>
      </c>
      <c r="T83" s="458"/>
      <c r="U83" s="458"/>
      <c r="V83" s="436"/>
      <c r="W83" s="475" t="s">
        <v>319</v>
      </c>
      <c r="X83" s="435" t="s">
        <v>320</v>
      </c>
      <c r="Y83" s="458"/>
      <c r="Z83" s="458"/>
      <c r="AA83" s="436"/>
      <c r="AB83" s="448" t="s">
        <v>321</v>
      </c>
      <c r="AC83" s="448" t="s">
        <v>320</v>
      </c>
      <c r="AD83" s="448"/>
      <c r="AE83" s="448"/>
      <c r="AF83" s="448"/>
    </row>
    <row r="84" spans="1:32">
      <c r="A84" s="448"/>
      <c r="B84" s="361"/>
      <c r="C84" s="478"/>
      <c r="D84" s="472"/>
      <c r="E84" s="476"/>
      <c r="F84" s="435" t="s">
        <v>237</v>
      </c>
      <c r="G84" s="436"/>
      <c r="H84" s="435" t="s">
        <v>234</v>
      </c>
      <c r="I84" s="436"/>
      <c r="J84" s="90" t="s">
        <v>235</v>
      </c>
      <c r="K84" s="228" t="s">
        <v>236</v>
      </c>
      <c r="L84" s="90" t="s">
        <v>236</v>
      </c>
      <c r="M84" s="481"/>
      <c r="N84" s="7" t="s">
        <v>237</v>
      </c>
      <c r="O84" s="7" t="s">
        <v>234</v>
      </c>
      <c r="P84" s="7" t="s">
        <v>235</v>
      </c>
      <c r="Q84" s="7" t="s">
        <v>236</v>
      </c>
      <c r="R84" s="481"/>
      <c r="S84" s="7" t="s">
        <v>58</v>
      </c>
      <c r="T84" s="7" t="s">
        <v>59</v>
      </c>
      <c r="U84" s="7" t="s">
        <v>57</v>
      </c>
      <c r="V84" s="7" t="s">
        <v>55</v>
      </c>
      <c r="W84" s="481"/>
      <c r="X84" s="7" t="s">
        <v>58</v>
      </c>
      <c r="Y84" s="7" t="s">
        <v>59</v>
      </c>
      <c r="Z84" s="7" t="s">
        <v>57</v>
      </c>
      <c r="AA84" s="7" t="s">
        <v>55</v>
      </c>
      <c r="AB84" s="448"/>
      <c r="AC84" s="7" t="s">
        <v>58</v>
      </c>
      <c r="AD84" s="7" t="s">
        <v>59</v>
      </c>
      <c r="AE84" s="7" t="s">
        <v>57</v>
      </c>
      <c r="AF84" s="7" t="s">
        <v>55</v>
      </c>
    </row>
    <row r="85" spans="1:32">
      <c r="A85" s="7">
        <v>1</v>
      </c>
      <c r="B85" s="348"/>
      <c r="C85" s="435">
        <v>2</v>
      </c>
      <c r="D85" s="461"/>
      <c r="E85" s="163">
        <v>3</v>
      </c>
      <c r="F85" s="435">
        <v>4</v>
      </c>
      <c r="G85" s="436"/>
      <c r="H85" s="435">
        <v>5</v>
      </c>
      <c r="I85" s="436"/>
      <c r="J85" s="7">
        <v>6</v>
      </c>
      <c r="K85" s="7">
        <v>7</v>
      </c>
      <c r="L85" s="7">
        <v>7</v>
      </c>
      <c r="M85" s="7">
        <v>8</v>
      </c>
      <c r="N85" s="7">
        <v>9</v>
      </c>
      <c r="O85" s="7">
        <v>10</v>
      </c>
      <c r="P85" s="7">
        <v>11</v>
      </c>
      <c r="Q85" s="7">
        <v>12</v>
      </c>
      <c r="R85" s="7">
        <v>13</v>
      </c>
      <c r="S85" s="7">
        <v>14</v>
      </c>
      <c r="T85" s="7">
        <v>15</v>
      </c>
      <c r="U85" s="7">
        <v>16</v>
      </c>
      <c r="V85" s="7">
        <v>17</v>
      </c>
      <c r="W85" s="7">
        <v>18</v>
      </c>
      <c r="X85" s="7">
        <v>19</v>
      </c>
      <c r="Y85" s="6">
        <v>20</v>
      </c>
      <c r="Z85" s="6">
        <v>21</v>
      </c>
      <c r="AA85" s="6">
        <v>22</v>
      </c>
      <c r="AB85" s="6">
        <v>23</v>
      </c>
      <c r="AC85" s="6">
        <v>24</v>
      </c>
      <c r="AD85" s="6">
        <v>25</v>
      </c>
      <c r="AE85" s="6">
        <v>26</v>
      </c>
      <c r="AF85" s="6">
        <v>27</v>
      </c>
    </row>
    <row r="86" spans="1:32" ht="39" customHeight="1">
      <c r="A86" s="284">
        <v>1</v>
      </c>
      <c r="B86" s="371"/>
      <c r="C86" s="450" t="str">
        <f>'4. Кап. інвестиції'!A11</f>
        <v>Придбання автомобіля сміттєвоза ЛІВ Міні Б</v>
      </c>
      <c r="D86" s="503"/>
      <c r="E86" s="163"/>
      <c r="F86" s="435"/>
      <c r="G86" s="436"/>
      <c r="H86" s="435"/>
      <c r="I86" s="436"/>
      <c r="J86" s="285"/>
      <c r="K86" s="285"/>
      <c r="L86" s="285"/>
      <c r="M86" s="84">
        <f t="shared" ref="M86:M92" si="7">N86+O86+P86+Q86</f>
        <v>1746</v>
      </c>
      <c r="N86" s="285">
        <f>'4. Кап. інвестиції'!G11</f>
        <v>0</v>
      </c>
      <c r="O86" s="285">
        <f>'4. Кап. інвестиції'!H11</f>
        <v>1746</v>
      </c>
      <c r="P86" s="285">
        <f>'4. Кап. інвестиції'!I11</f>
        <v>0</v>
      </c>
      <c r="Q86" s="285">
        <f>'4. Кап. інвестиції'!J11</f>
        <v>0</v>
      </c>
      <c r="R86" s="84">
        <f t="shared" ref="R86:R92" si="8">S86+T86+U86+V86</f>
        <v>0</v>
      </c>
      <c r="S86" s="285"/>
      <c r="T86" s="285"/>
      <c r="U86" s="285"/>
      <c r="V86" s="285"/>
      <c r="W86" s="84">
        <f t="shared" ref="W86:W92" si="9">X86+Y86+Z86+AA86</f>
        <v>0</v>
      </c>
      <c r="X86" s="285"/>
      <c r="Y86" s="284"/>
      <c r="Z86" s="284"/>
      <c r="AA86" s="284"/>
      <c r="AB86" s="84">
        <f t="shared" ref="AB86:AB92" si="10">AC86+AD86+AE86+AF86</f>
        <v>1746</v>
      </c>
      <c r="AC86" s="125">
        <f t="shared" ref="AC86:AF87" si="11">F86+N86+S86+X86</f>
        <v>0</v>
      </c>
      <c r="AD86" s="125">
        <f t="shared" si="11"/>
        <v>1746</v>
      </c>
      <c r="AE86" s="125">
        <f t="shared" si="11"/>
        <v>0</v>
      </c>
      <c r="AF86" s="125">
        <f t="shared" si="11"/>
        <v>0</v>
      </c>
    </row>
    <row r="87" spans="1:32" ht="57" customHeight="1">
      <c r="A87" s="284">
        <v>2</v>
      </c>
      <c r="B87" s="371"/>
      <c r="C87" s="450" t="str">
        <f>'4. Кап. інвестиції'!A12</f>
        <v xml:space="preserve">Придбання50 контейнерів для збирання твердих побутових відходів 1,1м3 на кладовище міста </v>
      </c>
      <c r="D87" s="503"/>
      <c r="E87" s="163"/>
      <c r="F87" s="435"/>
      <c r="G87" s="436"/>
      <c r="H87" s="435"/>
      <c r="I87" s="436"/>
      <c r="J87" s="285"/>
      <c r="K87" s="285"/>
      <c r="L87" s="285"/>
      <c r="M87" s="84">
        <f>N87+O87+P87+Q87</f>
        <v>474.9</v>
      </c>
      <c r="N87" s="285">
        <f>'4. Кап. інвестиції'!G12</f>
        <v>0</v>
      </c>
      <c r="O87" s="285">
        <f>'4. Кап. інвестиції'!H12</f>
        <v>474.9</v>
      </c>
      <c r="P87" s="285">
        <f>'4. Кап. інвестиції'!I12</f>
        <v>0</v>
      </c>
      <c r="Q87" s="87"/>
      <c r="R87" s="84">
        <f>S87+T87+U87+V87</f>
        <v>0</v>
      </c>
      <c r="S87" s="85">
        <v>0</v>
      </c>
      <c r="T87" s="85">
        <v>0</v>
      </c>
      <c r="U87" s="85">
        <v>0</v>
      </c>
      <c r="V87" s="85">
        <v>0</v>
      </c>
      <c r="W87" s="84">
        <f>X87+Y87+Z87+AA87</f>
        <v>0</v>
      </c>
      <c r="X87" s="85">
        <v>0</v>
      </c>
      <c r="Y87" s="85">
        <v>0</v>
      </c>
      <c r="Z87" s="85">
        <v>0</v>
      </c>
      <c r="AA87" s="85">
        <v>0</v>
      </c>
      <c r="AB87" s="84">
        <f t="shared" si="10"/>
        <v>474.9</v>
      </c>
      <c r="AC87" s="125">
        <f t="shared" si="11"/>
        <v>0</v>
      </c>
      <c r="AD87" s="125">
        <f t="shared" si="11"/>
        <v>474.9</v>
      </c>
      <c r="AE87" s="125">
        <f t="shared" si="11"/>
        <v>0</v>
      </c>
      <c r="AF87" s="125">
        <f t="shared" si="11"/>
        <v>0</v>
      </c>
    </row>
    <row r="88" spans="1:32" ht="79.5" hidden="1" customHeight="1" outlineLevel="1">
      <c r="A88" s="284"/>
      <c r="B88" s="371"/>
      <c r="C88" s="450"/>
      <c r="D88" s="503"/>
      <c r="E88" s="163"/>
      <c r="F88" s="248"/>
      <c r="G88" s="332"/>
      <c r="H88" s="435"/>
      <c r="I88" s="436"/>
      <c r="J88" s="248"/>
      <c r="K88" s="248"/>
      <c r="L88" s="248"/>
      <c r="M88" s="84"/>
      <c r="N88" s="285"/>
      <c r="O88" s="285"/>
      <c r="P88" s="285"/>
      <c r="Q88" s="285"/>
      <c r="R88" s="84"/>
      <c r="S88" s="85"/>
      <c r="T88" s="85"/>
      <c r="U88" s="85"/>
      <c r="V88" s="85"/>
      <c r="W88" s="84"/>
      <c r="X88" s="85"/>
      <c r="Y88" s="85"/>
      <c r="Z88" s="85"/>
      <c r="AA88" s="85"/>
      <c r="AB88" s="84"/>
      <c r="AC88" s="125"/>
      <c r="AD88" s="125"/>
      <c r="AE88" s="125"/>
      <c r="AF88" s="125"/>
    </row>
    <row r="89" spans="1:32" ht="41.25" customHeight="1" collapsed="1">
      <c r="A89" s="284">
        <v>3</v>
      </c>
      <c r="B89" s="371"/>
      <c r="C89" s="450" t="str">
        <f>'4. Кап. інвестиції'!A14</f>
        <v xml:space="preserve">Придбання   автобуса  марки "АТАМАН" </v>
      </c>
      <c r="D89" s="503"/>
      <c r="E89" s="163"/>
      <c r="F89" s="435"/>
      <c r="G89" s="436"/>
      <c r="H89" s="435"/>
      <c r="I89" s="436"/>
      <c r="J89" s="285"/>
      <c r="K89" s="285"/>
      <c r="L89" s="285"/>
      <c r="M89" s="84">
        <f>N89+O89+P89+Q89</f>
        <v>1998</v>
      </c>
      <c r="N89" s="285">
        <f>'4. Кап. інвестиції'!G14</f>
        <v>0</v>
      </c>
      <c r="O89" s="285">
        <f>'4. Кап. інвестиції'!H14</f>
        <v>1998</v>
      </c>
      <c r="P89" s="285">
        <f>'4. Кап. інвестиції'!I14</f>
        <v>0</v>
      </c>
      <c r="Q89" s="285">
        <f>'4. Кап. інвестиції'!J14</f>
        <v>0</v>
      </c>
      <c r="R89" s="84">
        <f>S89+T89+U89+V89</f>
        <v>0</v>
      </c>
      <c r="S89" s="85">
        <v>0</v>
      </c>
      <c r="T89" s="85">
        <v>0</v>
      </c>
      <c r="U89" s="85">
        <v>0</v>
      </c>
      <c r="V89" s="85">
        <v>0</v>
      </c>
      <c r="W89" s="84">
        <f>X89+Y89+Z89+AA89</f>
        <v>0</v>
      </c>
      <c r="X89" s="85">
        <v>0</v>
      </c>
      <c r="Y89" s="85">
        <v>0</v>
      </c>
      <c r="Z89" s="85">
        <v>0</v>
      </c>
      <c r="AA89" s="85">
        <v>0</v>
      </c>
      <c r="AB89" s="84">
        <f>AC89+AD89+AE89+AF89</f>
        <v>1998</v>
      </c>
      <c r="AC89" s="125">
        <f>F89+N89+S89+X89</f>
        <v>0</v>
      </c>
      <c r="AD89" s="125">
        <f>G89+O89+T89+Y89</f>
        <v>1998</v>
      </c>
      <c r="AE89" s="125">
        <f>H89+P89+U89+Z89</f>
        <v>0</v>
      </c>
      <c r="AF89" s="125">
        <f>I89+Q89+V89+AA89</f>
        <v>0</v>
      </c>
    </row>
    <row r="90" spans="1:32" ht="81" customHeight="1">
      <c r="A90" s="247">
        <v>4</v>
      </c>
      <c r="B90" s="371"/>
      <c r="C90" s="473" t="str">
        <f>'4. Кап. інвестиції'!A15</f>
        <v>Придбання   автомобіля (автомобіля вантажопасажирського) марки FORD TRANSIT Y363 Kombi          для транспортування до моргу померлих на судмедекспертизу</v>
      </c>
      <c r="D90" s="474"/>
      <c r="E90" s="164"/>
      <c r="F90" s="437"/>
      <c r="G90" s="438"/>
      <c r="H90" s="442"/>
      <c r="I90" s="443"/>
      <c r="J90" s="53"/>
      <c r="K90" s="53"/>
      <c r="L90" s="53"/>
      <c r="M90" s="84">
        <f t="shared" si="7"/>
        <v>945</v>
      </c>
      <c r="N90" s="285">
        <f>'4. Кап. інвестиції'!G15</f>
        <v>0</v>
      </c>
      <c r="O90" s="285">
        <f>'4. Кап. інвестиції'!H15</f>
        <v>0</v>
      </c>
      <c r="P90" s="285">
        <f>'4. Кап. інвестиції'!I15</f>
        <v>0</v>
      </c>
      <c r="Q90" s="285">
        <f>'4. Кап. інвестиції'!J15</f>
        <v>945</v>
      </c>
      <c r="R90" s="84">
        <f t="shared" si="8"/>
        <v>0</v>
      </c>
      <c r="S90" s="85">
        <v>0</v>
      </c>
      <c r="T90" s="85">
        <v>0</v>
      </c>
      <c r="U90" s="85">
        <v>0</v>
      </c>
      <c r="V90" s="85">
        <v>0</v>
      </c>
      <c r="W90" s="84">
        <f t="shared" si="9"/>
        <v>0</v>
      </c>
      <c r="X90" s="85">
        <v>0</v>
      </c>
      <c r="Y90" s="85">
        <v>0</v>
      </c>
      <c r="Z90" s="85">
        <v>0</v>
      </c>
      <c r="AA90" s="85">
        <v>0</v>
      </c>
      <c r="AB90" s="84">
        <f t="shared" si="10"/>
        <v>945</v>
      </c>
      <c r="AC90" s="125">
        <f t="shared" ref="AC90:AF92" si="12">F90+N90+S90+X90</f>
        <v>0</v>
      </c>
      <c r="AD90" s="125">
        <f t="shared" si="12"/>
        <v>0</v>
      </c>
      <c r="AE90" s="125">
        <f t="shared" si="12"/>
        <v>0</v>
      </c>
      <c r="AF90" s="125">
        <f t="shared" si="12"/>
        <v>945</v>
      </c>
    </row>
    <row r="91" spans="1:32" ht="60" customHeight="1">
      <c r="A91" s="284">
        <v>5</v>
      </c>
      <c r="B91" s="371"/>
      <c r="C91" s="473" t="str">
        <f>'4. Кап. інвестиції'!A17</f>
        <v>Екскаватор - навантажувач "Катерпіллар"</v>
      </c>
      <c r="D91" s="474"/>
      <c r="E91" s="164"/>
      <c r="F91" s="437"/>
      <c r="G91" s="438"/>
      <c r="H91" s="442"/>
      <c r="I91" s="443"/>
      <c r="J91" s="53"/>
      <c r="K91" s="53"/>
      <c r="L91" s="53"/>
      <c r="M91" s="84">
        <f t="shared" si="7"/>
        <v>1890</v>
      </c>
      <c r="N91" s="285">
        <f>'4. Кап. інвестиції'!G16</f>
        <v>0</v>
      </c>
      <c r="O91" s="285">
        <f>'4. Кап. інвестиції'!H16</f>
        <v>0</v>
      </c>
      <c r="P91" s="285">
        <f>'4. Кап. інвестиції'!I16</f>
        <v>0</v>
      </c>
      <c r="Q91" s="285">
        <f>'4. Кап. інвестиції'!J17</f>
        <v>1890</v>
      </c>
      <c r="R91" s="84">
        <f t="shared" si="8"/>
        <v>0</v>
      </c>
      <c r="S91" s="85">
        <v>0</v>
      </c>
      <c r="T91" s="85">
        <v>0</v>
      </c>
      <c r="U91" s="85">
        <v>0</v>
      </c>
      <c r="V91" s="85">
        <v>0</v>
      </c>
      <c r="W91" s="84">
        <f t="shared" si="9"/>
        <v>0</v>
      </c>
      <c r="X91" s="85">
        <v>0</v>
      </c>
      <c r="Y91" s="85">
        <v>0</v>
      </c>
      <c r="Z91" s="85">
        <v>0</v>
      </c>
      <c r="AA91" s="85">
        <v>0</v>
      </c>
      <c r="AB91" s="84">
        <f t="shared" si="10"/>
        <v>1890</v>
      </c>
      <c r="AC91" s="125">
        <f t="shared" si="12"/>
        <v>0</v>
      </c>
      <c r="AD91" s="125">
        <f t="shared" si="12"/>
        <v>0</v>
      </c>
      <c r="AE91" s="125">
        <f t="shared" si="12"/>
        <v>0</v>
      </c>
      <c r="AF91" s="125">
        <f t="shared" si="12"/>
        <v>1890</v>
      </c>
    </row>
    <row r="92" spans="1:32" ht="35.25" customHeight="1">
      <c r="A92" s="284">
        <v>6</v>
      </c>
      <c r="B92" s="371"/>
      <c r="C92" s="473" t="str">
        <f>'4. Кап. інвестиції'!A18</f>
        <v>Мікроавтобус для транспортування до моргу померлих на судмедекспертизу</v>
      </c>
      <c r="D92" s="474"/>
      <c r="E92" s="164"/>
      <c r="F92" s="437"/>
      <c r="G92" s="438"/>
      <c r="H92" s="442"/>
      <c r="I92" s="443"/>
      <c r="J92" s="53"/>
      <c r="K92" s="53"/>
      <c r="L92" s="53"/>
      <c r="M92" s="84">
        <f t="shared" si="7"/>
        <v>1680</v>
      </c>
      <c r="N92" s="285">
        <f>'4. Кап. інвестиції'!G17</f>
        <v>0</v>
      </c>
      <c r="O92" s="285">
        <f>'4. Кап. інвестиції'!H17</f>
        <v>0</v>
      </c>
      <c r="P92" s="285">
        <f>'4. Кап. інвестиції'!I17</f>
        <v>0</v>
      </c>
      <c r="Q92" s="285">
        <f>'4. Кап. інвестиції'!J18</f>
        <v>1680</v>
      </c>
      <c r="R92" s="84">
        <f t="shared" si="8"/>
        <v>0</v>
      </c>
      <c r="S92" s="85"/>
      <c r="T92" s="85"/>
      <c r="U92" s="85"/>
      <c r="V92" s="85"/>
      <c r="W92" s="84">
        <f t="shared" si="9"/>
        <v>0</v>
      </c>
      <c r="X92" s="85"/>
      <c r="Y92" s="85"/>
      <c r="Z92" s="85"/>
      <c r="AA92" s="85"/>
      <c r="AB92" s="84">
        <f t="shared" si="10"/>
        <v>1680</v>
      </c>
      <c r="AC92" s="125">
        <f t="shared" si="12"/>
        <v>0</v>
      </c>
      <c r="AD92" s="125">
        <f t="shared" si="12"/>
        <v>0</v>
      </c>
      <c r="AE92" s="125">
        <f t="shared" si="12"/>
        <v>0</v>
      </c>
      <c r="AF92" s="125">
        <f t="shared" si="12"/>
        <v>1680</v>
      </c>
    </row>
    <row r="93" spans="1:32" ht="40.5" hidden="1" customHeight="1" outlineLevel="1">
      <c r="A93" s="284"/>
      <c r="B93" s="371"/>
      <c r="C93" s="482"/>
      <c r="D93" s="483"/>
      <c r="E93" s="164"/>
      <c r="F93" s="76"/>
      <c r="G93" s="76"/>
      <c r="H93" s="442"/>
      <c r="I93" s="443"/>
      <c r="J93" s="53"/>
      <c r="K93" s="53"/>
      <c r="L93" s="53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125"/>
      <c r="AD93" s="125"/>
      <c r="AE93" s="125"/>
      <c r="AF93" s="125"/>
    </row>
    <row r="94" spans="1:32" ht="41.25" hidden="1" customHeight="1" outlineLevel="1">
      <c r="A94" s="284"/>
      <c r="B94" s="371"/>
      <c r="C94" s="482"/>
      <c r="D94" s="483"/>
      <c r="E94" s="164"/>
      <c r="F94" s="76"/>
      <c r="G94" s="76"/>
      <c r="H94" s="442"/>
      <c r="I94" s="443"/>
      <c r="J94" s="53"/>
      <c r="K94" s="53"/>
      <c r="L94" s="53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125"/>
      <c r="AD94" s="125"/>
      <c r="AE94" s="125"/>
      <c r="AF94" s="125"/>
    </row>
    <row r="95" spans="1:32" collapsed="1">
      <c r="A95" s="145"/>
      <c r="B95" s="374"/>
      <c r="C95" s="463" t="s">
        <v>40</v>
      </c>
      <c r="D95" s="464"/>
      <c r="E95" s="112">
        <f>SUM(E86:E94)</f>
        <v>0</v>
      </c>
      <c r="F95" s="439">
        <f>SUM(F86:F94)</f>
        <v>0</v>
      </c>
      <c r="G95" s="440"/>
      <c r="H95" s="439">
        <f>SUM(H86:H94)</f>
        <v>0</v>
      </c>
      <c r="I95" s="440"/>
      <c r="J95" s="112">
        <v>0</v>
      </c>
      <c r="K95" s="112">
        <v>0</v>
      </c>
      <c r="L95" s="112">
        <f>SUM(L90:L93)</f>
        <v>0</v>
      </c>
      <c r="M95" s="112">
        <f>SUM(M86:M94)</f>
        <v>8733.9</v>
      </c>
      <c r="N95" s="112">
        <f>SUM(N86:N94)</f>
        <v>0</v>
      </c>
      <c r="O95" s="112">
        <f>SUM(O86:O94)</f>
        <v>4218.8999999999996</v>
      </c>
      <c r="P95" s="112">
        <f t="shared" ref="P95:AF95" si="13">SUM(P86:P94)</f>
        <v>0</v>
      </c>
      <c r="Q95" s="112">
        <f t="shared" si="13"/>
        <v>4515</v>
      </c>
      <c r="R95" s="112">
        <f t="shared" si="13"/>
        <v>0</v>
      </c>
      <c r="S95" s="112">
        <f t="shared" si="13"/>
        <v>0</v>
      </c>
      <c r="T95" s="112">
        <f t="shared" si="13"/>
        <v>0</v>
      </c>
      <c r="U95" s="112">
        <f t="shared" si="13"/>
        <v>0</v>
      </c>
      <c r="V95" s="112">
        <f t="shared" si="13"/>
        <v>0</v>
      </c>
      <c r="W95" s="112">
        <f t="shared" si="13"/>
        <v>0</v>
      </c>
      <c r="X95" s="112">
        <f t="shared" si="13"/>
        <v>0</v>
      </c>
      <c r="Y95" s="112">
        <f t="shared" si="13"/>
        <v>0</v>
      </c>
      <c r="Z95" s="112">
        <f t="shared" si="13"/>
        <v>0</v>
      </c>
      <c r="AA95" s="112">
        <f t="shared" si="13"/>
        <v>0</v>
      </c>
      <c r="AB95" s="112">
        <f t="shared" si="13"/>
        <v>8733.9</v>
      </c>
      <c r="AC95" s="112">
        <f t="shared" si="13"/>
        <v>0</v>
      </c>
      <c r="AD95" s="112">
        <f t="shared" si="13"/>
        <v>4218.8999999999996</v>
      </c>
      <c r="AE95" s="112">
        <f t="shared" si="13"/>
        <v>0</v>
      </c>
      <c r="AF95" s="112">
        <f t="shared" si="13"/>
        <v>4515</v>
      </c>
    </row>
    <row r="96" spans="1:32" ht="21.75" customHeight="1">
      <c r="A96" s="8"/>
      <c r="B96" s="347"/>
      <c r="C96" s="450" t="s">
        <v>41</v>
      </c>
      <c r="D96" s="464"/>
      <c r="E96" s="148"/>
      <c r="F96" s="435"/>
      <c r="G96" s="436"/>
      <c r="H96" s="435">
        <f>I95/AB95*100</f>
        <v>0</v>
      </c>
      <c r="I96" s="436"/>
      <c r="J96" s="54"/>
      <c r="K96" s="54"/>
      <c r="L96" s="54"/>
      <c r="M96" s="146">
        <v>100</v>
      </c>
      <c r="N96" s="54">
        <v>0</v>
      </c>
      <c r="O96" s="146"/>
      <c r="P96" s="146"/>
      <c r="Q96" s="146"/>
      <c r="R96" s="146">
        <v>0</v>
      </c>
      <c r="S96" s="146"/>
      <c r="T96" s="146"/>
      <c r="U96" s="146"/>
      <c r="V96" s="146"/>
      <c r="W96" s="146">
        <f>W95/AB95*100</f>
        <v>0</v>
      </c>
      <c r="X96" s="146"/>
      <c r="Y96" s="146"/>
      <c r="Z96" s="146"/>
      <c r="AA96" s="146"/>
      <c r="AB96" s="146">
        <v>100</v>
      </c>
      <c r="AC96" s="146"/>
      <c r="AD96" s="146"/>
      <c r="AE96" s="146"/>
      <c r="AF96" s="146"/>
    </row>
    <row r="97" spans="1:36">
      <c r="A97" s="13" t="s">
        <v>251</v>
      </c>
      <c r="B97" s="13"/>
    </row>
    <row r="98" spans="1:36" ht="18.75" customHeight="1">
      <c r="A98" s="466" t="s">
        <v>35</v>
      </c>
      <c r="B98" s="375"/>
      <c r="C98" s="467" t="s">
        <v>255</v>
      </c>
      <c r="D98" s="468"/>
      <c r="E98" s="479"/>
      <c r="F98" s="429" t="s">
        <v>256</v>
      </c>
      <c r="G98" s="430"/>
      <c r="H98" s="515" t="s">
        <v>257</v>
      </c>
      <c r="I98" s="515" t="s">
        <v>252</v>
      </c>
      <c r="J98" s="515" t="s">
        <v>253</v>
      </c>
      <c r="K98" s="435" t="s">
        <v>107</v>
      </c>
      <c r="L98" s="458"/>
      <c r="M98" s="458"/>
      <c r="N98" s="458"/>
      <c r="O98" s="458"/>
      <c r="P98" s="436"/>
      <c r="Q98" s="429" t="s">
        <v>258</v>
      </c>
      <c r="R98" s="501"/>
      <c r="S98" s="502"/>
      <c r="T98" s="448" t="s">
        <v>259</v>
      </c>
      <c r="U98" s="448"/>
      <c r="V98" s="448"/>
      <c r="W98" s="448"/>
      <c r="X98" s="448"/>
      <c r="Y98" s="448"/>
      <c r="Z98" s="123"/>
      <c r="AA98" s="20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>
      <c r="A99" s="466"/>
      <c r="B99" s="123"/>
      <c r="C99" s="469"/>
      <c r="D99" s="470"/>
      <c r="E99" s="480"/>
      <c r="F99" s="431"/>
      <c r="G99" s="432"/>
      <c r="H99" s="517"/>
      <c r="I99" s="517"/>
      <c r="J99" s="517"/>
      <c r="K99" s="515" t="s">
        <v>254</v>
      </c>
      <c r="L99" s="118"/>
      <c r="M99" s="515" t="s">
        <v>260</v>
      </c>
      <c r="N99" s="435" t="s">
        <v>263</v>
      </c>
      <c r="O99" s="462"/>
      <c r="P99" s="461"/>
      <c r="Q99" s="509"/>
      <c r="R99" s="510"/>
      <c r="S99" s="511"/>
      <c r="T99" s="448"/>
      <c r="U99" s="448"/>
      <c r="V99" s="448"/>
      <c r="W99" s="448"/>
      <c r="X99" s="448"/>
      <c r="Y99" s="448"/>
      <c r="Z99" s="123"/>
      <c r="AA99" s="20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201.75" customHeight="1">
      <c r="A100" s="466"/>
      <c r="B100" s="376"/>
      <c r="C100" s="471"/>
      <c r="D100" s="472"/>
      <c r="E100" s="481"/>
      <c r="F100" s="433"/>
      <c r="G100" s="434"/>
      <c r="H100" s="516"/>
      <c r="I100" s="516"/>
      <c r="J100" s="516"/>
      <c r="K100" s="516"/>
      <c r="L100" s="119"/>
      <c r="M100" s="516"/>
      <c r="N100" s="254" t="s">
        <v>261</v>
      </c>
      <c r="O100" s="241" t="s">
        <v>262</v>
      </c>
      <c r="P100" s="241" t="s">
        <v>350</v>
      </c>
      <c r="Q100" s="512"/>
      <c r="R100" s="513"/>
      <c r="S100" s="514"/>
      <c r="T100" s="448"/>
      <c r="U100" s="448"/>
      <c r="V100" s="448"/>
      <c r="W100" s="448"/>
      <c r="X100" s="448"/>
      <c r="Y100" s="448"/>
      <c r="Z100" s="123"/>
      <c r="AA100" s="20"/>
      <c r="AB100" s="20"/>
      <c r="AC100" s="20"/>
      <c r="AD100" s="20"/>
      <c r="AE100" s="20"/>
      <c r="AF100" s="20"/>
      <c r="AG100" s="20" t="s">
        <v>349</v>
      </c>
      <c r="AH100" s="20"/>
      <c r="AI100" s="20"/>
      <c r="AJ100" s="20"/>
    </row>
    <row r="101" spans="1:36" ht="26.25" customHeight="1">
      <c r="A101" s="6">
        <v>1</v>
      </c>
      <c r="B101" s="371"/>
      <c r="C101" s="435">
        <v>2</v>
      </c>
      <c r="D101" s="461"/>
      <c r="E101" s="147"/>
      <c r="F101" s="435">
        <v>3</v>
      </c>
      <c r="G101" s="436"/>
      <c r="H101" s="7">
        <v>4</v>
      </c>
      <c r="I101" s="7">
        <v>5</v>
      </c>
      <c r="J101" s="7">
        <v>6</v>
      </c>
      <c r="K101" s="7">
        <v>7</v>
      </c>
      <c r="L101" s="7"/>
      <c r="M101" s="7">
        <v>8</v>
      </c>
      <c r="N101" s="7">
        <v>9</v>
      </c>
      <c r="O101" s="7">
        <v>10</v>
      </c>
      <c r="P101" s="7">
        <v>11</v>
      </c>
      <c r="Q101" s="435">
        <v>12</v>
      </c>
      <c r="R101" s="462"/>
      <c r="S101" s="461"/>
      <c r="T101" s="435">
        <v>13</v>
      </c>
      <c r="U101" s="458"/>
      <c r="V101" s="459"/>
      <c r="W101" s="459"/>
      <c r="X101" s="459"/>
      <c r="Y101" s="460"/>
      <c r="Z101" s="123"/>
      <c r="AA101" s="20"/>
      <c r="AB101" s="20"/>
      <c r="AC101" s="20"/>
      <c r="AD101" s="20"/>
      <c r="AE101" s="20" t="s">
        <v>352</v>
      </c>
      <c r="AF101" s="20"/>
      <c r="AG101" s="20"/>
      <c r="AH101" s="20"/>
      <c r="AI101" s="20"/>
      <c r="AJ101" s="20"/>
    </row>
    <row r="102" spans="1:36" ht="18.75" customHeight="1">
      <c r="A102" s="62" t="s">
        <v>40</v>
      </c>
      <c r="B102" s="357"/>
      <c r="C102" s="463"/>
      <c r="D102" s="464"/>
      <c r="E102" s="148"/>
      <c r="F102" s="427"/>
      <c r="G102" s="428"/>
      <c r="H102" s="51"/>
      <c r="I102" s="51"/>
      <c r="J102" s="51"/>
      <c r="K102" s="51"/>
      <c r="L102" s="51"/>
      <c r="M102" s="51"/>
      <c r="N102" s="51"/>
      <c r="O102" s="51"/>
      <c r="P102" s="51"/>
      <c r="Q102" s="427"/>
      <c r="R102" s="462"/>
      <c r="S102" s="461"/>
      <c r="T102" s="427"/>
      <c r="U102" s="465"/>
      <c r="V102" s="462"/>
      <c r="W102" s="462"/>
      <c r="X102" s="462"/>
      <c r="Y102" s="461"/>
      <c r="Z102" s="124"/>
      <c r="AA102" s="88"/>
      <c r="AB102" s="88"/>
      <c r="AC102" s="88"/>
      <c r="AD102" s="88"/>
      <c r="AE102" s="89"/>
      <c r="AF102" s="89"/>
      <c r="AG102" s="89"/>
      <c r="AH102" s="89"/>
      <c r="AI102" s="89"/>
      <c r="AJ102" s="89"/>
    </row>
    <row r="103" spans="1:36" ht="18.75" customHeight="1">
      <c r="A103" s="143"/>
      <c r="B103" s="143"/>
      <c r="C103" s="143"/>
      <c r="D103" s="144"/>
      <c r="E103" s="144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138"/>
      <c r="S103" s="138"/>
      <c r="T103" s="63"/>
      <c r="U103" s="63"/>
      <c r="V103" s="138"/>
      <c r="W103" s="138"/>
      <c r="X103" s="138"/>
      <c r="Y103" s="138"/>
      <c r="Z103" s="88"/>
      <c r="AA103" s="88"/>
      <c r="AB103" s="88"/>
      <c r="AC103" s="88"/>
      <c r="AD103" s="88"/>
      <c r="AE103" s="89"/>
      <c r="AF103" s="89"/>
      <c r="AG103" s="89"/>
      <c r="AH103" s="89"/>
      <c r="AI103" s="89"/>
      <c r="AJ103" s="89"/>
    </row>
    <row r="104" spans="1:36" ht="34.5" customHeight="1">
      <c r="A104" s="255" t="s">
        <v>381</v>
      </c>
      <c r="B104" s="255"/>
      <c r="C104" s="1"/>
      <c r="D104" s="1"/>
      <c r="E104" s="1"/>
      <c r="F104" s="423" t="s">
        <v>380</v>
      </c>
      <c r="G104" s="423"/>
      <c r="H104" s="506"/>
      <c r="I104" s="12"/>
      <c r="J104" s="507" t="s">
        <v>317</v>
      </c>
      <c r="K104" s="507"/>
      <c r="L104" s="507"/>
      <c r="M104" s="507"/>
    </row>
    <row r="105" spans="1:36" s="318" customFormat="1" ht="12.75">
      <c r="A105" s="324" t="s">
        <v>61</v>
      </c>
      <c r="B105" s="340"/>
      <c r="C105" s="315"/>
      <c r="D105" s="315"/>
      <c r="E105" s="315"/>
      <c r="F105" s="508" t="s">
        <v>62</v>
      </c>
      <c r="G105" s="508"/>
      <c r="H105" s="508"/>
      <c r="I105" s="317"/>
      <c r="J105" s="412" t="s">
        <v>81</v>
      </c>
      <c r="K105" s="412"/>
      <c r="L105" s="412"/>
      <c r="M105" s="412"/>
    </row>
  </sheetData>
  <mergeCells count="203">
    <mergeCell ref="C93:D93"/>
    <mergeCell ref="C88:D88"/>
    <mergeCell ref="H71:I72"/>
    <mergeCell ref="H73:I73"/>
    <mergeCell ref="A81:I81"/>
    <mergeCell ref="C73:D73"/>
    <mergeCell ref="I76:I78"/>
    <mergeCell ref="G71:G72"/>
    <mergeCell ref="C76:D78"/>
    <mergeCell ref="C71:D72"/>
    <mergeCell ref="C80:D80"/>
    <mergeCell ref="A76:A78"/>
    <mergeCell ref="F76:F78"/>
    <mergeCell ref="H76:H78"/>
    <mergeCell ref="G76:G78"/>
    <mergeCell ref="C79:D79"/>
    <mergeCell ref="A75:K75"/>
    <mergeCell ref="F71:F72"/>
    <mergeCell ref="K73:L73"/>
    <mergeCell ref="C87:D87"/>
    <mergeCell ref="C89:D89"/>
    <mergeCell ref="F105:H105"/>
    <mergeCell ref="J105:M105"/>
    <mergeCell ref="M83:M84"/>
    <mergeCell ref="M82:Q82"/>
    <mergeCell ref="N99:P99"/>
    <mergeCell ref="Q98:S100"/>
    <mergeCell ref="M99:M100"/>
    <mergeCell ref="Q101:S101"/>
    <mergeCell ref="R83:R84"/>
    <mergeCell ref="F82:K82"/>
    <mergeCell ref="K99:K100"/>
    <mergeCell ref="Q102:S102"/>
    <mergeCell ref="H98:H100"/>
    <mergeCell ref="I98:I100"/>
    <mergeCell ref="J98:J100"/>
    <mergeCell ref="H95:I95"/>
    <mergeCell ref="H96:I96"/>
    <mergeCell ref="J40:L40"/>
    <mergeCell ref="E40:G40"/>
    <mergeCell ref="K41:L41"/>
    <mergeCell ref="K42:L42"/>
    <mergeCell ref="F28:G28"/>
    <mergeCell ref="F36:G36"/>
    <mergeCell ref="F41:G41"/>
    <mergeCell ref="F104:H104"/>
    <mergeCell ref="J104:M104"/>
    <mergeCell ref="F44:G44"/>
    <mergeCell ref="F45:G45"/>
    <mergeCell ref="C86:D86"/>
    <mergeCell ref="H85:I85"/>
    <mergeCell ref="AC83:AF83"/>
    <mergeCell ref="AB83:AB84"/>
    <mergeCell ref="S83:V83"/>
    <mergeCell ref="W83:W84"/>
    <mergeCell ref="X83:AA83"/>
    <mergeCell ref="J76:O76"/>
    <mergeCell ref="J77:J78"/>
    <mergeCell ref="N83:Q83"/>
    <mergeCell ref="W82:AA82"/>
    <mergeCell ref="Z81:AF81"/>
    <mergeCell ref="AB82:AF82"/>
    <mergeCell ref="K43:L43"/>
    <mergeCell ref="H84:I84"/>
    <mergeCell ref="H36:I36"/>
    <mergeCell ref="H35:I35"/>
    <mergeCell ref="I57:J57"/>
    <mergeCell ref="H40:I40"/>
    <mergeCell ref="F35:G35"/>
    <mergeCell ref="M40:N40"/>
    <mergeCell ref="A38:N38"/>
    <mergeCell ref="C51:D51"/>
    <mergeCell ref="C58:D58"/>
    <mergeCell ref="C48:D48"/>
    <mergeCell ref="C49:D49"/>
    <mergeCell ref="A40:A41"/>
    <mergeCell ref="C40:D40"/>
    <mergeCell ref="K44:L44"/>
    <mergeCell ref="K45:L45"/>
    <mergeCell ref="F42:G42"/>
    <mergeCell ref="F43:G43"/>
    <mergeCell ref="C67:D67"/>
    <mergeCell ref="K77:O77"/>
    <mergeCell ref="A71:A72"/>
    <mergeCell ref="J71:O71"/>
    <mergeCell ref="I58:J58"/>
    <mergeCell ref="T98:Y100"/>
    <mergeCell ref="T101:Y101"/>
    <mergeCell ref="C102:D102"/>
    <mergeCell ref="C101:D101"/>
    <mergeCell ref="T102:Y102"/>
    <mergeCell ref="K98:P98"/>
    <mergeCell ref="A98:A100"/>
    <mergeCell ref="A82:A84"/>
    <mergeCell ref="C96:D96"/>
    <mergeCell ref="C98:D100"/>
    <mergeCell ref="C95:D95"/>
    <mergeCell ref="C85:D85"/>
    <mergeCell ref="C90:D90"/>
    <mergeCell ref="E83:E84"/>
    <mergeCell ref="C82:D84"/>
    <mergeCell ref="E98:E100"/>
    <mergeCell ref="C91:D91"/>
    <mergeCell ref="C92:D92"/>
    <mergeCell ref="F83:L83"/>
    <mergeCell ref="R82:V82"/>
    <mergeCell ref="C94:D94"/>
    <mergeCell ref="H90:I90"/>
    <mergeCell ref="H91:I91"/>
    <mergeCell ref="H92:I92"/>
    <mergeCell ref="K58:N58"/>
    <mergeCell ref="F58:H58"/>
    <mergeCell ref="K48:N48"/>
    <mergeCell ref="K49:N49"/>
    <mergeCell ref="C66:D66"/>
    <mergeCell ref="C61:D61"/>
    <mergeCell ref="C63:D63"/>
    <mergeCell ref="C50:D50"/>
    <mergeCell ref="C62:D62"/>
    <mergeCell ref="C52:D52"/>
    <mergeCell ref="C53:D53"/>
    <mergeCell ref="C65:D65"/>
    <mergeCell ref="C59:D59"/>
    <mergeCell ref="C60:D60"/>
    <mergeCell ref="K51:N51"/>
    <mergeCell ref="K57:N57"/>
    <mergeCell ref="K52:N52"/>
    <mergeCell ref="K53:N53"/>
    <mergeCell ref="F57:H57"/>
    <mergeCell ref="K50:N50"/>
    <mergeCell ref="C68:D68"/>
    <mergeCell ref="C64:D64"/>
    <mergeCell ref="A70:N70"/>
    <mergeCell ref="K72:L72"/>
    <mergeCell ref="C57:E57"/>
    <mergeCell ref="H22:I22"/>
    <mergeCell ref="F12:G12"/>
    <mergeCell ref="F13:G13"/>
    <mergeCell ref="H16:I16"/>
    <mergeCell ref="H20:I20"/>
    <mergeCell ref="H14:I14"/>
    <mergeCell ref="F22:G22"/>
    <mergeCell ref="F15:G15"/>
    <mergeCell ref="F17:G17"/>
    <mergeCell ref="F16:G16"/>
    <mergeCell ref="F26:G26"/>
    <mergeCell ref="F24:G24"/>
    <mergeCell ref="H34:I34"/>
    <mergeCell ref="H28:I28"/>
    <mergeCell ref="H30:I30"/>
    <mergeCell ref="F32:G32"/>
    <mergeCell ref="F33:G33"/>
    <mergeCell ref="H29:I29"/>
    <mergeCell ref="H32:I32"/>
    <mergeCell ref="A7:I7"/>
    <mergeCell ref="A5:I5"/>
    <mergeCell ref="A4:I4"/>
    <mergeCell ref="A6:I6"/>
    <mergeCell ref="H27:I27"/>
    <mergeCell ref="H17:I17"/>
    <mergeCell ref="H26:I26"/>
    <mergeCell ref="H12:I12"/>
    <mergeCell ref="H13:I13"/>
    <mergeCell ref="H18:I18"/>
    <mergeCell ref="H19:I19"/>
    <mergeCell ref="H21:I21"/>
    <mergeCell ref="F14:G14"/>
    <mergeCell ref="H15:I15"/>
    <mergeCell ref="H23:I23"/>
    <mergeCell ref="H25:I25"/>
    <mergeCell ref="F23:G23"/>
    <mergeCell ref="H24:I24"/>
    <mergeCell ref="F18:G18"/>
    <mergeCell ref="F27:G27"/>
    <mergeCell ref="F19:G19"/>
    <mergeCell ref="F20:G20"/>
    <mergeCell ref="F21:G21"/>
    <mergeCell ref="F25:G25"/>
    <mergeCell ref="F96:G96"/>
    <mergeCell ref="H87:I87"/>
    <mergeCell ref="H86:I86"/>
    <mergeCell ref="F101:G101"/>
    <mergeCell ref="H94:I94"/>
    <mergeCell ref="H89:I89"/>
    <mergeCell ref="H88:I88"/>
    <mergeCell ref="H93:I93"/>
    <mergeCell ref="F30:G30"/>
    <mergeCell ref="F29:G29"/>
    <mergeCell ref="H31:I31"/>
    <mergeCell ref="H33:I33"/>
    <mergeCell ref="F31:G31"/>
    <mergeCell ref="F34:G34"/>
    <mergeCell ref="F102:G102"/>
    <mergeCell ref="F98:G100"/>
    <mergeCell ref="F84:G84"/>
    <mergeCell ref="F85:G85"/>
    <mergeCell ref="F86:G86"/>
    <mergeCell ref="F87:G87"/>
    <mergeCell ref="F89:G89"/>
    <mergeCell ref="F90:G90"/>
    <mergeCell ref="F91:G91"/>
    <mergeCell ref="F92:G92"/>
    <mergeCell ref="F95:G95"/>
  </mergeCells>
  <phoneticPr fontId="3" type="noConversion"/>
  <printOptions horizontalCentered="1"/>
  <pageMargins left="0.27559055118110237" right="0" top="0.47244094488188981" bottom="0.47244094488188981" header="0.27559055118110237" footer="0.15748031496062992"/>
  <pageSetup paperSize="9" scale="75" fitToHeight="0" orientation="portrait" verticalDpi="1200" r:id="rId1"/>
  <headerFooter alignWithMargins="0">
    <oddHeader>&amp;C&amp;"Times New Roman,обычный"&amp;14 13&amp;R&amp;"Times New Roman,обычный"&amp;14Продовження додатка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Голубченко Анна</cp:lastModifiedBy>
  <cp:lastPrinted>2019-11-05T07:58:00Z</cp:lastPrinted>
  <dcterms:created xsi:type="dcterms:W3CDTF">2003-03-13T16:00:22Z</dcterms:created>
  <dcterms:modified xsi:type="dcterms:W3CDTF">2019-11-05T12:48:55Z</dcterms:modified>
</cp:coreProperties>
</file>